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751Q4nxawH24li8UxthWAwEhGWUTj7VJcEHNXx8/JcG/4rAFsTK9q3E3rmFKXHUYyJP7GIsbvo/57Qn8lGu7w==" workbookSaltValue="PnIUM7psFsamzgWdbBYX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BF16" i="8"/>
  <c r="F16" i="11"/>
  <c r="AQ16" i="11" s="1"/>
  <c r="R13" i="17"/>
  <c r="P13" i="14"/>
  <c r="BG17" i="13"/>
  <c r="R8" i="9"/>
  <c r="T17" i="11"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C32" i="20"/>
  <c r="O10" i="11"/>
  <c r="AP32" i="20"/>
  <c r="W32" i="21"/>
  <c r="AA32" i="20"/>
  <c r="AV32" i="20"/>
  <c r="U17" i="11"/>
  <c r="AQ32" i="20"/>
  <c r="K17" i="12" l="1"/>
  <c r="I9" i="12"/>
  <c r="K9" i="12"/>
  <c r="I16" i="12"/>
  <c r="AP14" i="20"/>
  <c r="V10" i="21"/>
  <c r="AO18" i="17"/>
  <c r="AO9" i="17"/>
  <c r="AO13" i="17"/>
  <c r="X14" i="17"/>
  <c r="AO10" i="17"/>
  <c r="AO30" i="17"/>
  <c r="V16" i="20"/>
  <c r="V23" i="20" s="1"/>
  <c r="V26" i="20" s="1"/>
  <c r="AA12" i="21"/>
  <c r="T18" i="20"/>
  <c r="AA18" i="16"/>
  <c r="AA17" i="16"/>
  <c r="T18" i="11"/>
  <c r="T11" i="11"/>
  <c r="T13" i="11"/>
  <c r="R12" i="14"/>
  <c r="S19" i="14"/>
  <c r="V19" i="14" s="1"/>
  <c r="X12" i="16"/>
  <c r="L21" i="2"/>
  <c r="AZ28" i="11"/>
  <c r="V21" i="16"/>
  <c r="AA9" i="16"/>
  <c r="X21"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P13" i="11" s="1"/>
  <c r="BL25" i="11"/>
  <c r="Q25" i="11" s="1"/>
  <c r="BH18" i="11"/>
  <c r="BG19" i="11"/>
  <c r="BM16" i="11"/>
  <c r="AZ9" i="11"/>
  <c r="AO28" i="17"/>
  <c r="BL29" i="11"/>
  <c r="P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AQ14" i="21"/>
  <c r="AM22" i="11"/>
  <c r="AM13" i="11"/>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23" i="14" s="1"/>
  <c r="R11" i="14"/>
  <c r="S18" i="14"/>
  <c r="V18" i="14" s="1"/>
  <c r="S13" i="14"/>
  <c r="V13" i="14" s="1"/>
  <c r="V14"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Q17" i="11"/>
  <c r="AA31" i="11"/>
  <c r="E31" i="2"/>
  <c r="BH23" i="11"/>
  <c r="BK23" i="11"/>
  <c r="P12" i="11"/>
  <c r="P18" i="11"/>
  <c r="Q16" i="11"/>
  <c r="Q20" i="11"/>
  <c r="S23" i="16"/>
  <c r="BU33" i="17"/>
  <c r="P21" i="11"/>
  <c r="T23" i="16"/>
  <c r="T31" i="16" s="1"/>
  <c r="Q17" i="11"/>
  <c r="BK14" i="11"/>
  <c r="BK31" i="11" s="1"/>
  <c r="R14" i="21"/>
  <c r="R31" i="21" s="1"/>
  <c r="AZ31" i="11"/>
  <c r="AZ14" i="11"/>
  <c r="BJ23" i="11"/>
  <c r="BL23" i="11"/>
  <c r="P16" i="11"/>
  <c r="BF23" i="11"/>
  <c r="P20" i="11"/>
  <c r="S31" i="16"/>
  <c r="P23" i="17"/>
  <c r="P31" i="17" s="1"/>
  <c r="AZ26"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<sst xmlns="http://schemas.openxmlformats.org/spreadsheetml/2006/main" count="2654" uniqueCount="1185">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</sst>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arjMFb66NWiPOZJPo0c9jUe7ym7MFKnAnmJKsxOl8Gl1mYMftse8da5a7c2oQrCD6JI4l61+DHKNJ9Pr7VuQ==" saltValue="VaP/FMpRrbJBoZKmS6YL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18.570850202429149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30</v>
      </c>
      <c r="F10" s="240">
        <f>IF(ISNUMBER(Datos!K10),Datos!K10," - ")</f>
        <v>25</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0.12195121951219512</v>
      </c>
      <c r="L10" s="1402">
        <f>IF(ISNUMBER(NºAsuntos!I10/NºAsuntos!G10),(NºAsuntos!I10/NºAsuntos!G10)*11," - ")</f>
        <v>20.240000000000002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30</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1247</v>
      </c>
      <c r="D16" s="239">
        <f>IF(ISNUMBER(IF(D_I="SI",Datos!I16,Datos!I16+Datos!AC16)),IF(D_I="SI",Datos!I16,Datos!I16+Datos!AC16)," - ")</f>
        <v>1213</v>
      </c>
      <c r="E16" s="240">
        <f>IF(ISNUMBER(IF(D_I="SI",Datos!J16,Datos!J16+Datos!AD16)),IF(D_I="SI",Datos!J16,Datos!J16+Datos!AD16)," - ")</f>
        <v>2165</v>
      </c>
      <c r="F16" s="240">
        <f>IF(ISNUMBER(IF(D_I="SI",Datos!K16,Datos!K16+Datos!AE16)),IF(D_I="SI",Datos!K16,Datos!K16+Datos!AE16)," - ")</f>
        <v>2264</v>
      </c>
      <c r="G16" s="1390" t="str">
        <f>IF(Datos!E16&lt;&gt;"",Datos!E16,Datos!D16)</f>
        <v>03</v>
      </c>
      <c r="H16" s="241">
        <f>IF(ISNUMBER(IF(D_I="SI",Datos!L16,Datos!L16+Datos!AF16)),IF(D_I="SI",Datos!L16,Datos!L16+Datos!AF16)," - ")</f>
        <v>1148</v>
      </c>
      <c r="I16" s="1400" t="str">
        <f>IF(ISNUMBER(Datos!AS16/Datos!BM16),Datos!AS16/Datos!BM16," - ")</f>
        <v xml:space="preserve"> - </v>
      </c>
      <c r="J16" s="1401">
        <f>IF(ISNUMBER(Datos!BY16/Datos!CN16),Datos!BY16/Datos!CN16," - ")</f>
        <v>0</v>
      </c>
      <c r="K16" s="244">
        <f t="shared" ref="K16:K22" si="3">IF(ISNUMBER((E16-F16)/C16),(E16-F16)/C16," - ")</f>
        <v>-7.9390537289494786E-2</v>
      </c>
      <c r="L16" s="1402">
        <f>IF(ISNUMBER(NºAsuntos!I16/NºAsuntos!G16),(NºAsuntos!I16/NºAsuntos!G16)*11," - ")</f>
        <v>5.5777385159010606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96</v>
      </c>
      <c r="D18" s="239">
        <f>IF(ISNUMBER(IF(D_I="SI",Datos!I18,Datos!I18+Datos!AC18)),IF(D_I="SI",Datos!I18,Datos!I18+Datos!AC18)," - ")</f>
        <v>96</v>
      </c>
      <c r="E18" s="240">
        <f>IF(ISNUMBER(IF(D_I="SI",Datos!J18,Datos!J18+Datos!AD18)),IF(D_I="SI",Datos!J18,Datos!J18+Datos!AD18)," - ")</f>
        <v>239</v>
      </c>
      <c r="F18" s="240">
        <f>IF(ISNUMBER(IF(D_I="SI",Datos!K18,Datos!K18+Datos!AE18)),IF(D_I="SI",Datos!K18,Datos!K18+Datos!AE18)," - ")</f>
        <v>237</v>
      </c>
      <c r="G18" s="1390" t="str">
        <f>IF(Datos!E18&lt;&gt;"",Datos!E18,Datos!D18)</f>
        <v>37</v>
      </c>
      <c r="H18" s="241">
        <f>IF(ISNUMBER(IF(D_I="SI",Datos!L18,Datos!L18+Datos!AF18)),IF(D_I="SI",Datos!L18,Datos!L18+Datos!AF18)," - ")</f>
        <v>98</v>
      </c>
      <c r="I18" s="1400" t="str">
        <f>IF(ISNUMBER(Datos!AS18/Datos!BM18),Datos!AS18/Datos!BM18," - ")</f>
        <v xml:space="preserve"> - </v>
      </c>
      <c r="J18" s="1401" t="str">
        <f>IF(ISNUMBER((Datos!BY18+Datos!BZ18)/Datos!CN18),(Datos!BY18+Datos!BZ18)/Datos!CN18," - ")</f>
        <v xml:space="preserve"> - </v>
      </c>
      <c r="K18" s="244">
        <f t="shared" si="3"/>
        <v>2.0833333333333332E-2</v>
      </c>
      <c r="L18" s="1402">
        <f>IF(ISNUMBER(NºAsuntos!I18/NºAsuntos!G18),(NºAsuntos!I18/NºAsuntos!G18)*11," - ")</f>
        <v>4.5485232067510548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1343</v>
      </c>
      <c r="D23" s="1407">
        <f>SUBTOTAL(9,D16:D22)</f>
        <v>1309</v>
      </c>
      <c r="E23" s="1408">
        <f>SUBTOTAL(9,E16:E22)</f>
        <v>2404</v>
      </c>
      <c r="F23" s="1408">
        <f>SUBTOTAL(9,F16:F22)</f>
        <v>2501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1384</v>
      </c>
      <c r="D31" s="1435">
        <f>SUBTOTAL(9,D9:D30)</f>
        <v>1350</v>
      </c>
      <c r="E31" s="1436">
        <f>SUBTOTAL(9,E9:E30)</f>
        <v>2434</v>
      </c>
      <c r="F31" s="1436">
        <f>SUBTOTAL(9,F9:F30)</f>
        <v>2526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F5OR9NCDAt0oJlQ9wlzKFCyAiqxMGxf05BdPSyjwGGYyVeU8Qu3OMri9HFlVlU0/uavA8hpbdytrS/Bpyce1w==" saltValue="jPI17YGB/Zoq94QpoW8W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S6KxxwyvID8NA2tQTDwo6klWpecrbFvrqkyphDsaT3MHs0Q3WwHkY4y59ccPvOuOX9uQYjarA0i+WKTAr5Erw==" saltValue="5sD5OpcOJ56I87q118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3924</v>
      </c>
      <c r="J9" s="194">
        <v>2251</v>
      </c>
      <c r="K9" s="194">
        <v>2231</v>
      </c>
      <c r="L9" s="194">
        <v>3944</v>
      </c>
      <c r="M9" s="194">
        <v>473</v>
      </c>
      <c r="N9" s="194">
        <v>911</v>
      </c>
      <c r="O9" s="194">
        <v>1427</v>
      </c>
      <c r="P9" s="194">
        <v>536</v>
      </c>
      <c r="Q9" s="194">
        <v>417</v>
      </c>
      <c r="R9" s="194">
        <v>7270</v>
      </c>
      <c r="S9" s="194">
        <v>4183</v>
      </c>
      <c r="T9" s="194">
        <v>2034</v>
      </c>
      <c r="U9" s="194">
        <v>2359</v>
      </c>
      <c r="V9" s="194">
        <v>3871</v>
      </c>
      <c r="W9" s="194">
        <v>501</v>
      </c>
      <c r="X9" s="201">
        <v>1070</v>
      </c>
      <c r="Y9" s="204">
        <v>239</v>
      </c>
      <c r="Z9" s="194">
        <v>226</v>
      </c>
      <c r="AA9" s="194">
        <v>239</v>
      </c>
      <c r="AB9" s="194">
        <v>226</v>
      </c>
      <c r="AC9" s="194">
        <v>0</v>
      </c>
      <c r="AD9" s="194">
        <v>0</v>
      </c>
      <c r="AE9" s="194">
        <v>0</v>
      </c>
      <c r="AF9" s="201">
        <v>0</v>
      </c>
      <c r="AG9" s="204">
        <v>217</v>
      </c>
      <c r="AH9" s="194">
        <v>269</v>
      </c>
      <c r="AI9" s="194">
        <v>254</v>
      </c>
      <c r="AJ9" s="205">
        <v>240</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4400</v>
      </c>
      <c r="AZ9" s="133">
        <f>IF(ISNUMBER(IF(J_V="SI",T9,T9+AH9)),IF(J_V="SI",T9,T9+AH9)," - ")</f>
        <v>2303</v>
      </c>
      <c r="BA9" s="134">
        <f>IF(ISNUMBER(IF(J_V="SI",U9,U9+AI9)),IF(J_V="SI",U9,U9+AI9)," - ")</f>
        <v>2613</v>
      </c>
      <c r="BB9" s="134">
        <f>IF(ISNUMBER(IF(J_V="SI",V9,V9+AJ9)),IF(J_V="SI",V9,V9+AJ9)," - ")</f>
        <v>4111</v>
      </c>
      <c r="BC9" s="135">
        <f>IF(ISNUMBER(X9),X9," - ")</f>
        <v>1070</v>
      </c>
      <c r="BD9" s="136">
        <f>IF(ISNUMBER(BA9/AZ9),BA9/AZ9," - ")</f>
        <v>1.134607034303083</v>
      </c>
      <c r="BE9" s="137">
        <f>IF(ISNUMBER(BB9/BA9),BB9/BA9, " - ")</f>
        <v>1.5732874091083047</v>
      </c>
      <c r="BF9" s="137">
        <f>IF(ISNUMBER(BC9/BA9),BC9/BA9, " - ")</f>
        <v>0.4094910065059319</v>
      </c>
      <c r="BG9" s="209">
        <f>IF(ISNUMBER((AY9+AZ9)/BA9),(AY9+AZ9)/BA9," - ")</f>
        <v>2.5652506697282815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30</v>
      </c>
      <c r="K10" s="194">
        <v>25</v>
      </c>
      <c r="L10" s="194">
        <v>46</v>
      </c>
      <c r="M10" s="194">
        <v>9</v>
      </c>
      <c r="N10" s="194">
        <v>12</v>
      </c>
      <c r="O10" s="194">
        <v>3</v>
      </c>
      <c r="P10" s="194">
        <v>7</v>
      </c>
      <c r="Q10" s="194">
        <v>1</v>
      </c>
      <c r="R10" s="194">
        <v>56</v>
      </c>
      <c r="S10" s="194">
        <v>46</v>
      </c>
      <c r="T10" s="194">
        <v>20</v>
      </c>
      <c r="U10" s="194">
        <v>19</v>
      </c>
      <c r="V10" s="194">
        <v>47</v>
      </c>
      <c r="W10" s="194">
        <v>11</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46</v>
      </c>
      <c r="AZ10" s="139">
        <f t="shared" si="0"/>
        <v>20</v>
      </c>
      <c r="BA10" s="139">
        <f t="shared" si="0"/>
        <v>19</v>
      </c>
      <c r="BB10" s="139">
        <f t="shared" si="0"/>
        <v>47</v>
      </c>
      <c r="BC10" s="135">
        <f t="shared" si="0"/>
        <v>11</v>
      </c>
      <c r="BD10" s="136">
        <f>IF(ISNUMBER(BA10/AZ10),BA10/AZ10," - ")</f>
        <v>0.95</v>
      </c>
      <c r="BE10" s="137">
        <f>IF(ISNUMBER(BB10/BA10),BB10/BA10, " - ")</f>
        <v>2.4736842105263159</v>
      </c>
      <c r="BF10" s="137">
        <f>IF(ISNUMBER(BC10/BA10),BC10/BA10, " - ")</f>
        <v>0.57894736842105265</v>
      </c>
      <c r="BG10" s="209">
        <f>IF(ISNUMBER((AY10+AZ10)/BA10),(AY10+AZ10)/BA10," - ")</f>
        <v>3.4736842105263159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2</v>
      </c>
      <c r="K12" s="196">
        <v>1</v>
      </c>
      <c r="L12" s="196">
        <v>2</v>
      </c>
      <c r="M12" s="196">
        <v>0</v>
      </c>
      <c r="N12" s="196">
        <v>0</v>
      </c>
      <c r="O12" s="194">
        <v>1</v>
      </c>
      <c r="P12" s="196">
        <v>0</v>
      </c>
      <c r="Q12" s="196">
        <v>2</v>
      </c>
      <c r="R12" s="196">
        <v>95</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3966</v>
      </c>
      <c r="J14" s="197">
        <f t="shared" si="7"/>
        <v>2283</v>
      </c>
      <c r="K14" s="197">
        <f t="shared" si="7"/>
        <v>2257</v>
      </c>
      <c r="L14" s="197">
        <f t="shared" si="7"/>
        <v>3992</v>
      </c>
      <c r="M14" s="197">
        <f t="shared" si="7"/>
        <v>482</v>
      </c>
      <c r="N14" s="197">
        <f t="shared" si="7"/>
        <v>923</v>
      </c>
      <c r="O14" s="197">
        <f t="shared" si="7"/>
        <v>1431</v>
      </c>
      <c r="P14" s="197">
        <f t="shared" si="7"/>
        <v>543</v>
      </c>
      <c r="Q14" s="197">
        <f t="shared" si="7"/>
        <v>420</v>
      </c>
      <c r="R14" s="197">
        <f t="shared" si="7"/>
        <v>7421</v>
      </c>
      <c r="S14" s="197">
        <f t="shared" si="7"/>
        <v>4230</v>
      </c>
      <c r="T14" s="197">
        <f t="shared" si="7"/>
        <v>2054</v>
      </c>
      <c r="U14" s="197">
        <f t="shared" si="7"/>
        <v>2378</v>
      </c>
      <c r="V14" s="197">
        <f t="shared" si="7"/>
        <v>3919</v>
      </c>
      <c r="W14" s="197">
        <f t="shared" si="7"/>
        <v>512</v>
      </c>
      <c r="X14" s="197">
        <f t="shared" si="7"/>
        <v>1076</v>
      </c>
      <c r="Y14" s="197">
        <f t="shared" si="7"/>
        <v>239</v>
      </c>
      <c r="Z14" s="197">
        <f t="shared" si="7"/>
        <v>226</v>
      </c>
      <c r="AA14" s="197">
        <f t="shared" si="7"/>
        <v>239</v>
      </c>
      <c r="AB14" s="197">
        <f t="shared" si="7"/>
        <v>226</v>
      </c>
      <c r="AC14" s="197">
        <f t="shared" si="7"/>
        <v>0</v>
      </c>
      <c r="AD14" s="197">
        <f t="shared" si="7"/>
        <v>0</v>
      </c>
      <c r="AE14" s="197">
        <f t="shared" si="7"/>
        <v>0</v>
      </c>
      <c r="AF14" s="197">
        <f>SUBTOTAL(9,AF9:AF13)</f>
        <v>0</v>
      </c>
      <c r="AG14" s="197">
        <f t="shared" ref="AG14:AT14" si="8">SUBTOTAL(9,AG8:AG13)</f>
        <v>217</v>
      </c>
      <c r="AH14" s="197">
        <f t="shared" si="8"/>
        <v>269</v>
      </c>
      <c r="AI14" s="197">
        <f t="shared" si="8"/>
        <v>254</v>
      </c>
      <c r="AJ14" s="197">
        <f t="shared" si="8"/>
        <v>240</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4447</v>
      </c>
      <c r="AZ14" s="197">
        <f>SUBTOTAL(9,AZ8:AZ13)</f>
        <v>2323</v>
      </c>
      <c r="BA14" s="197">
        <f>SUBTOTAL(9,BA8:BA13)</f>
        <v>2632</v>
      </c>
      <c r="BB14" s="197">
        <f>SUBTOTAL(9,BB8:BB13)</f>
        <v>4159</v>
      </c>
      <c r="BC14" s="197">
        <f>SUBTOTAL(9,BC8:BC13)</f>
        <v>1081</v>
      </c>
      <c r="BD14" s="219">
        <f>IF(ISNUMBER(BA14/AZ14),BA14/AZ14," - ")</f>
        <v>1.133017649591046</v>
      </c>
      <c r="BE14" s="220">
        <f>IF(ISNUMBER(BB14/BA14),BB14/BA14, " - ")</f>
        <v>1.5801671732522797</v>
      </c>
      <c r="BF14" s="220">
        <f>IF(ISNUMBER(BC14/BA14),BC14/BA14, " - ")</f>
        <v>0.4107142857142857</v>
      </c>
      <c r="BG14" s="221">
        <f>IF(ISNUMBER((AY14+AZ14)/BA14),(AY14+AZ14)/BA14," - ")</f>
        <v>2.5721884498480243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1213</v>
      </c>
      <c r="J16" s="196">
        <v>2165</v>
      </c>
      <c r="K16" s="196">
        <v>2264</v>
      </c>
      <c r="L16" s="196">
        <v>1148</v>
      </c>
      <c r="M16" s="196">
        <v>441</v>
      </c>
      <c r="N16" s="196">
        <v>1099</v>
      </c>
      <c r="O16" s="194">
        <v>85</v>
      </c>
      <c r="P16" s="196">
        <v>130</v>
      </c>
      <c r="Q16" s="196">
        <v>110</v>
      </c>
      <c r="R16" s="196">
        <v>290</v>
      </c>
      <c r="S16" s="196">
        <v>1441</v>
      </c>
      <c r="T16" s="196">
        <v>1960</v>
      </c>
      <c r="U16" s="196">
        <v>2101</v>
      </c>
      <c r="V16" s="196">
        <v>1369</v>
      </c>
      <c r="W16" s="196">
        <v>405</v>
      </c>
      <c r="X16" s="202">
        <v>1074</v>
      </c>
      <c r="Y16" s="215">
        <v>0</v>
      </c>
      <c r="Z16" s="196">
        <v>0</v>
      </c>
      <c r="AA16" s="196">
        <v>0</v>
      </c>
      <c r="AB16" s="196">
        <v>0</v>
      </c>
      <c r="AC16" s="196">
        <v>0</v>
      </c>
      <c r="AD16" s="196">
        <v>31</v>
      </c>
      <c r="AE16" s="196">
        <v>31</v>
      </c>
      <c r="AF16" s="202">
        <v>0</v>
      </c>
      <c r="AG16" s="215">
        <v>0</v>
      </c>
      <c r="AH16" s="196">
        <v>0</v>
      </c>
      <c r="AI16" s="196">
        <v>0</v>
      </c>
      <c r="AJ16" s="216">
        <v>0</v>
      </c>
      <c r="AK16" s="195">
        <v>0</v>
      </c>
      <c r="AL16" s="196">
        <v>19</v>
      </c>
      <c r="AM16" s="196">
        <v>19</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1441</v>
      </c>
      <c r="AZ16" s="139">
        <f t="shared" si="10"/>
        <v>1960</v>
      </c>
      <c r="BA16" s="139">
        <f t="shared" si="10"/>
        <v>2101</v>
      </c>
      <c r="BB16" s="139">
        <f t="shared" si="10"/>
        <v>1369</v>
      </c>
      <c r="BC16" s="135">
        <f>IF(ISNUMBER(W16),W16," - ")</f>
        <v>405</v>
      </c>
      <c r="BD16" s="136">
        <f>IF(ISNUMBER(BA16/AZ16),BA16/AZ16," - ")</f>
        <v>1.0719387755102041</v>
      </c>
      <c r="BE16" s="137">
        <f>IF(ISNUMBER(BB16/BA16),BB16/BA16, " - ")</f>
        <v>0.65159447881960975</v>
      </c>
      <c r="BF16" s="137">
        <f>IF(ISNUMBER(BC16/BA16),BC16/BA16, " - ")</f>
        <v>0.19276534983341265</v>
      </c>
      <c r="BG16" s="209">
        <f t="shared" ref="BG16:BG22" si="11">IF(ISNUMBER((AY16+AZ16)/BA16),(AY16+AZ16)/BA16," - ")</f>
        <v>1.6187529747739171</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96</v>
      </c>
      <c r="J18" s="196">
        <v>239</v>
      </c>
      <c r="K18" s="196">
        <v>237</v>
      </c>
      <c r="L18" s="196">
        <v>98</v>
      </c>
      <c r="M18" s="196">
        <v>68</v>
      </c>
      <c r="N18" s="196">
        <v>161</v>
      </c>
      <c r="O18" s="196">
        <v>13</v>
      </c>
      <c r="P18" s="196">
        <v>11</v>
      </c>
      <c r="Q18" s="196">
        <v>13</v>
      </c>
      <c r="R18" s="196">
        <v>1</v>
      </c>
      <c r="S18" s="196">
        <v>78</v>
      </c>
      <c r="T18" s="196">
        <v>229</v>
      </c>
      <c r="U18" s="196">
        <v>238</v>
      </c>
      <c r="V18" s="196">
        <v>69</v>
      </c>
      <c r="W18" s="196">
        <v>74</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78</v>
      </c>
      <c r="AZ18" s="139">
        <f t="shared" si="15"/>
        <v>229</v>
      </c>
      <c r="BA18" s="139">
        <f t="shared" si="15"/>
        <v>238</v>
      </c>
      <c r="BB18" s="139">
        <f t="shared" si="15"/>
        <v>69</v>
      </c>
      <c r="BC18" s="135">
        <f>IF(ISNUMBER(W18),W18," - ")</f>
        <v>74</v>
      </c>
      <c r="BD18" s="136">
        <f>IF(ISNUMBER(BA18/AZ18),BA18/AZ18," - ")</f>
        <v>1.0393013100436681</v>
      </c>
      <c r="BE18" s="137">
        <f>IF(ISNUMBER(BB18/BA18),BB18/BA18, " - ")</f>
        <v>0.28991596638655465</v>
      </c>
      <c r="BF18" s="137">
        <f>IF(ISNUMBER(BC18/BA18),BC18/BA18, " - ")</f>
        <v>0.31092436974789917</v>
      </c>
      <c r="BG18" s="209">
        <f>IF(ISNUMBER((AY18+AZ18)/BA18),(AY18+AZ18)/BA18," - ")</f>
        <v>1.2899159663865547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1309</v>
      </c>
      <c r="J23" s="197">
        <f t="shared" si="21"/>
        <v>2404</v>
      </c>
      <c r="K23" s="197">
        <f t="shared" si="21"/>
        <v>2501</v>
      </c>
      <c r="L23" s="197">
        <f t="shared" si="21"/>
        <v>1246</v>
      </c>
      <c r="M23" s="197">
        <f t="shared" si="21"/>
        <v>509</v>
      </c>
      <c r="N23" s="197">
        <f t="shared" si="21"/>
        <v>1260</v>
      </c>
      <c r="O23" s="197">
        <f t="shared" si="21"/>
        <v>98</v>
      </c>
      <c r="P23" s="197">
        <f t="shared" si="21"/>
        <v>141</v>
      </c>
      <c r="Q23" s="197">
        <f t="shared" si="21"/>
        <v>123</v>
      </c>
      <c r="R23" s="197">
        <f t="shared" si="21"/>
        <v>291</v>
      </c>
      <c r="S23" s="197">
        <f t="shared" si="21"/>
        <v>1521</v>
      </c>
      <c r="T23" s="197">
        <f t="shared" si="21"/>
        <v>2189</v>
      </c>
      <c r="U23" s="197">
        <f t="shared" si="21"/>
        <v>2339</v>
      </c>
      <c r="V23" s="197">
        <f t="shared" si="21"/>
        <v>1440</v>
      </c>
      <c r="W23" s="197">
        <f t="shared" si="21"/>
        <v>479</v>
      </c>
      <c r="X23" s="197">
        <f t="shared" si="21"/>
        <v>1226</v>
      </c>
      <c r="Y23" s="197">
        <f t="shared" si="21"/>
        <v>0</v>
      </c>
      <c r="Z23" s="197">
        <f t="shared" si="21"/>
        <v>0</v>
      </c>
      <c r="AA23" s="197">
        <f t="shared" si="21"/>
        <v>0</v>
      </c>
      <c r="AB23" s="197">
        <f t="shared" si="21"/>
        <v>0</v>
      </c>
      <c r="AC23" s="197">
        <f t="shared" si="21"/>
        <v>0</v>
      </c>
      <c r="AD23" s="197">
        <f t="shared" si="21"/>
        <v>31</v>
      </c>
      <c r="AE23" s="197">
        <f t="shared" si="21"/>
        <v>31</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1521</v>
      </c>
      <c r="AZ23" s="197">
        <f>SUBTOTAL(9,AZ15:AZ22)</f>
        <v>2189</v>
      </c>
      <c r="BA23" s="197">
        <f>SUBTOTAL(9,BA15:BA22)</f>
        <v>2339</v>
      </c>
      <c r="BB23" s="197">
        <f>SUBTOTAL(9,BB15:BB22)</f>
        <v>1440</v>
      </c>
      <c r="BC23" s="197">
        <f>SUBTOTAL(9,BC15:BC22)</f>
        <v>479</v>
      </c>
      <c r="BD23" s="219">
        <f>IF(ISNUMBER(BA23/AZ23),BA23/AZ23," - ")</f>
        <v>1.0685244403837368</v>
      </c>
      <c r="BE23" s="220">
        <f>IF(ISNUMBER(BB23/BA23),BB23/BA23, " - ")</f>
        <v>0.61564771269773411</v>
      </c>
      <c r="BF23" s="220">
        <f>IF(ISNUMBER(BC23/BA23),BC23/BA23, " - ")</f>
        <v>0.20478837109876016</v>
      </c>
      <c r="BG23" s="221">
        <f>IF(ISNUMBER((AY23+AZ23)/BA23),(AY23+AZ23)/BA23," - ")</f>
        <v>1.586147926464301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5275</v>
      </c>
      <c r="J31" s="144">
        <f t="shared" si="36"/>
        <v>4687</v>
      </c>
      <c r="K31" s="144">
        <f t="shared" si="36"/>
        <v>4758</v>
      </c>
      <c r="L31" s="144">
        <f t="shared" si="36"/>
        <v>5238</v>
      </c>
      <c r="M31" s="144">
        <f t="shared" si="36"/>
        <v>991</v>
      </c>
      <c r="N31" s="144">
        <f t="shared" si="36"/>
        <v>2183</v>
      </c>
      <c r="O31" s="144">
        <f t="shared" si="36"/>
        <v>1529</v>
      </c>
      <c r="P31" s="144">
        <f t="shared" si="36"/>
        <v>684</v>
      </c>
      <c r="Q31" s="144">
        <f t="shared" si="36"/>
        <v>543</v>
      </c>
      <c r="R31" s="144">
        <f t="shared" si="36"/>
        <v>7712</v>
      </c>
      <c r="S31" s="144">
        <f t="shared" si="36"/>
        <v>5751</v>
      </c>
      <c r="T31" s="144">
        <f t="shared" si="36"/>
        <v>4243</v>
      </c>
      <c r="U31" s="144">
        <f t="shared" si="36"/>
        <v>4717</v>
      </c>
      <c r="V31" s="144">
        <f t="shared" si="36"/>
        <v>5359</v>
      </c>
      <c r="W31" s="144">
        <f t="shared" si="36"/>
        <v>991</v>
      </c>
      <c r="X31" s="144">
        <f t="shared" si="36"/>
        <v>2302</v>
      </c>
      <c r="Y31" s="144">
        <f t="shared" si="36"/>
        <v>239</v>
      </c>
      <c r="Z31" s="144">
        <f t="shared" si="36"/>
        <v>226</v>
      </c>
      <c r="AA31" s="144">
        <f t="shared" si="36"/>
        <v>239</v>
      </c>
      <c r="AB31" s="144">
        <f t="shared" si="36"/>
        <v>226</v>
      </c>
      <c r="AC31" s="144">
        <f t="shared" si="36"/>
        <v>0</v>
      </c>
      <c r="AD31" s="144">
        <f t="shared" si="36"/>
        <v>31</v>
      </c>
      <c r="AE31" s="144">
        <f t="shared" si="36"/>
        <v>31</v>
      </c>
      <c r="AF31" s="144">
        <f t="shared" si="36"/>
        <v>0</v>
      </c>
      <c r="AG31" s="144">
        <f t="shared" si="36"/>
        <v>217</v>
      </c>
      <c r="AH31" s="144">
        <f t="shared" si="36"/>
        <v>269</v>
      </c>
      <c r="AI31" s="144">
        <f t="shared" si="36"/>
        <v>254</v>
      </c>
      <c r="AJ31" s="144">
        <f t="shared" si="36"/>
        <v>240</v>
      </c>
      <c r="AK31" s="144">
        <f t="shared" si="36"/>
        <v>0</v>
      </c>
      <c r="AL31" s="144">
        <f t="shared" si="36"/>
        <v>19</v>
      </c>
      <c r="AM31" s="144">
        <f t="shared" si="36"/>
        <v>19</v>
      </c>
      <c r="AN31" s="224">
        <f t="shared" si="36"/>
        <v>0</v>
      </c>
      <c r="AO31" s="225">
        <v>10</v>
      </c>
      <c r="AP31" s="225">
        <v>10</v>
      </c>
      <c r="AQ31" s="225">
        <v>10</v>
      </c>
      <c r="AR31" s="225">
        <v>10</v>
      </c>
      <c r="AS31" s="166">
        <f t="shared" si="36"/>
        <v>0</v>
      </c>
      <c r="AT31" s="166">
        <f t="shared" si="36"/>
        <v>0</v>
      </c>
      <c r="AU31" s="225"/>
      <c r="AV31" s="226"/>
      <c r="AW31" s="225"/>
      <c r="AX31" s="226"/>
      <c r="AY31" s="143">
        <f>SUBTOTAL(9,AY9:AY30)</f>
        <v>5968</v>
      </c>
      <c r="AZ31" s="144">
        <f>SUBTOTAL(9,AZ9:AZ30)</f>
        <v>4512</v>
      </c>
      <c r="BA31" s="144">
        <f>SUBTOTAL(9,BA9:BA30)</f>
        <v>4971</v>
      </c>
      <c r="BB31" s="144">
        <f>SUBTOTAL(9,BB9:BB30)</f>
        <v>5599</v>
      </c>
      <c r="BC31" s="145">
        <f>SUBTOTAL(9,BC9:BC30)</f>
        <v>1560</v>
      </c>
      <c r="BD31" s="227">
        <f>IF(ISNUMBER(BA31/AZ31),BA31/AZ31," - ")</f>
        <v>1.1017287234042554</v>
      </c>
      <c r="BE31" s="224">
        <f>IF(ISNUMBER(BB31/BA31),BB31/BA31, " - ")</f>
        <v>1.1263327298330317</v>
      </c>
      <c r="BF31" s="224">
        <f>IF(ISNUMBER(BC31/BA31),BC31/BA31, " - ")</f>
        <v>0.31382015691007847</v>
      </c>
      <c r="BG31" s="145">
        <f>IF(ISNUMBER((AY31+AZ31)/BA31),(AY31+AZ31)/BA31," - ")</f>
        <v>2.1082277207805271</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J3O0/fVHyu62NlvmOxpfyUwGmWx5+o6BfP1u6VWcyEIcU8fdxsoHoc31hU0mlKHjgDyk71q1zHtD+i7JIplVw==" saltValue="nukI2UykFeadyQFDNMFt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MnPLXqN5aMrBO+H9erPwXfOrJBpoN0urFXTCzPBLeZa0gt+HT38JrBI3wMDjJxkU2ZJ+o/d4mkgtqaLi20znA==" saltValue="lPmt9cbjvSkTjWOEnBuE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GANDIA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226</v>
      </c>
      <c r="O9" s="549"/>
      <c r="P9" s="549"/>
      <c r="Q9" s="547">
        <f>IF(ISNUMBER(Datos!P9),Datos!P9,0)</f>
        <v>536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226</v>
      </c>
      <c r="AI9" s="549" t="str">
        <f>IF(ISNUMBER(Datos!CD9),Datos!CD9,"-")</f>
        <v>-</v>
      </c>
      <c r="AJ9" s="549" t="str">
        <f>IF(ISNUMBER(Datos!EN9),Datos!EN9," - ")</f>
        <v xml:space="preserve"> - </v>
      </c>
      <c r="AK9" s="549"/>
      <c r="AL9" s="550"/>
      <c r="AM9" s="766">
        <f>IF(ISNUMBER(Datos!R9),Datos!R9," - ")</f>
        <v>7270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473</v>
      </c>
      <c r="BD9" s="693">
        <f>IF(ISNUMBER(Datos!N9),Datos!N9," - ")</f>
        <v>911</v>
      </c>
      <c r="BE9" s="693" t="str">
        <f>IF(ISNUMBER(Datos!BW9),Datos!BW9," - ")</f>
        <v xml:space="preserve"> - </v>
      </c>
      <c r="BF9" s="762" t="str">
        <f>IF(ISNUMBER(Datos!BX9),Datos!BX9," - ")</f>
        <v xml:space="preserve"> - </v>
      </c>
      <c r="BG9" s="763">
        <f>IF(ISNUMBER(IF(J_V="SI",Datos!K9/Datos!J9,(Datos!K9+Datos!AA9)/(Datos!J9+Datos!Z9))),IF(J_V="SI",Datos!K9/Datos!J9,(Datos!K9+Datos!AA9)/(Datos!J9+Datos!Z9))," - ")</f>
        <v>0.99717400080742835</v>
      </c>
      <c r="BH9" s="764">
        <f>IF(ISNUMBER(((IF(J_V="SI",Datos!L9/Datos!K9,(Datos!L9+Datos!AB9)/(Datos!K9+Datos!AA9)))*11)/factor_trimestre),((IF(J_V="SI",Datos!L9/Datos!K9,(Datos!L9+Datos!AB9)/(Datos!K9+Datos!AA9)))*11)/factor_trimestre," - ")</f>
        <v>5.0647773279352224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1.6641029226681581E-2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1</v>
      </c>
      <c r="AD10" s="549"/>
      <c r="AE10" s="563"/>
      <c r="AF10" s="551">
        <f>IF(ISNUMBER(Datos!L10),Datos!L10,"-")</f>
        <v>46</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12</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5.5200000000000005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v>
      </c>
      <c r="BH12" s="764">
        <f>IF(ISNUMBER(((IF(J_V="SI",Datos!L12/Datos!K12,(Datos!L12+Datos!AB12)/(Datos!K12+Datos!AA12)))*11)/factor_trimestre),((IF(J_V="SI",Datos!L12/Datos!K12,(Datos!L12+Datos!AB12)/(Datos!K12+Datos!AA12)))*11)/factor_trimestre," - ")</f>
        <v>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-2.0618556701030927E-2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226</v>
      </c>
      <c r="O14" s="1199">
        <f t="shared" si="1"/>
        <v>0</v>
      </c>
      <c r="P14" s="1199">
        <f t="shared" si="1"/>
        <v>0</v>
      </c>
      <c r="Q14" s="1198">
        <f t="shared" si="1"/>
        <v>543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420</v>
      </c>
      <c r="AD14" s="1198">
        <f t="shared" si="2"/>
        <v>0</v>
      </c>
      <c r="AE14" s="1198">
        <f t="shared" si="2"/>
        <v>0</v>
      </c>
      <c r="AF14" s="1198">
        <f t="shared" si="2"/>
        <v>46</v>
      </c>
      <c r="AG14" s="1198">
        <f t="shared" si="2"/>
        <v>0</v>
      </c>
      <c r="AH14" s="1198">
        <f t="shared" si="2"/>
        <v>226</v>
      </c>
      <c r="AI14" s="1198">
        <f t="shared" si="2"/>
        <v>0</v>
      </c>
      <c r="AJ14" s="1198">
        <f t="shared" si="2"/>
        <v>0</v>
      </c>
      <c r="AK14" s="1198">
        <f t="shared" si="2"/>
        <v>0</v>
      </c>
      <c r="AL14" s="1198">
        <f t="shared" si="2"/>
        <v>0</v>
      </c>
      <c r="AM14" s="1198">
        <f t="shared" si="2"/>
        <v>7421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482</v>
      </c>
      <c r="BD14" s="1198">
        <f t="shared" si="2"/>
        <v>923</v>
      </c>
      <c r="BE14" s="1198">
        <f t="shared" si="2"/>
        <v>0</v>
      </c>
      <c r="BF14" s="1198">
        <f t="shared" si="2"/>
        <v>0</v>
      </c>
      <c r="BG14" s="1198">
        <f>IF(ISNUMBER(Datos!K14/Datos!J14),Datos!K14/Datos!J14," - ")</f>
        <v>0.9886114761279019</v>
      </c>
      <c r="BH14" s="1202">
        <f>IF(ISNUMBER(((Datos!L14/Datos!K14)*11)/factor_trimestre),((Datos!L14/Datos!K14)*11)/factor_trimestre," - ")</f>
        <v>5.3061586176340274</v>
      </c>
      <c r="BI14" s="1198">
        <f>IF(ISNUMBER('Resol  Asuntos'!D14/NºAsuntos!G14),'Resol  Asuntos'!D14/NºAsuntos!G14," - ")</f>
        <v>0.19310897435897437</v>
      </c>
      <c r="BJ14" s="1198" t="str">
        <f>IF(ISNUMBER(Datos!CI14/Datos!CJ14),Datos!CI14/Datos!CJ14," - ")</f>
        <v xml:space="preserve"> - </v>
      </c>
      <c r="BK14" s="1198">
        <f>SUBTOTAL(9,BK8:BK13)</f>
        <v>0</v>
      </c>
      <c r="BL14" s="1198">
        <f>IF(ISNUMBER((I14-AB14+L14)/(F14)),(I14-AB14+L14)/(F14)," - ")</f>
        <v>-0.6097560975609756</v>
      </c>
      <c r="BM14" s="1203">
        <f>SUBTOTAL(9,BM9:BM13)</f>
        <v>0.11602247252565066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1247</v>
      </c>
      <c r="G16" s="743">
        <f>IF(ISNUMBER(IF(D_I="SI",Datos!I16,Datos!I16+Datos!AC16)),IF(D_I="SI",Datos!I16,Datos!I16+Datos!AC16)," - ")</f>
        <v>1213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2264</v>
      </c>
      <c r="AC16" s="240">
        <f>IF(ISNUMBER(Datos!Q16),Datos!Q16," - ")</f>
        <v>110</v>
      </c>
      <c r="AD16" s="374"/>
      <c r="AE16" s="562"/>
      <c r="AF16" s="741">
        <f>IF(ISNUMBER(IF(D_I="SI",Datos!L16,Datos!L16+Datos!AF16)),IF(D_I="SI",Datos!L16,Datos!L16+Datos!AF16)," - ")</f>
        <v>1148</v>
      </c>
      <c r="AG16" s="374"/>
      <c r="AH16" s="374"/>
      <c r="AI16" s="374"/>
      <c r="AJ16" s="549"/>
      <c r="AK16" s="374"/>
      <c r="AL16" s="545"/>
      <c r="AM16" s="375">
        <f>IF(ISNUMBER(Datos!R16),Datos!R16," - ")</f>
        <v>290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441</v>
      </c>
      <c r="BD16" s="243">
        <f>IF(ISNUMBER(Datos!N16),Datos!N16," - ")</f>
        <v>1099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1.0457274826789837</v>
      </c>
      <c r="BH16" s="764">
        <f>IF(ISNUMBER(((IF(D_I="SI",Datos!L16/Datos!K16,(Datos!L16+Datos!AF16)/(Datos!K16+Datos!AE16)))*11)/factor_trimestre),((IF(D_I="SI",Datos!L16/Datos!K16,(Datos!L16+Datos!AF16)/(Datos!K16+Datos!AE16)))*11)/factor_trimestre," - ")</f>
        <v>1.521201413427562</v>
      </c>
      <c r="BI16" s="266">
        <f>IF(ISNUMBER('Resol  Asuntos'!D16/NºAsuntos!G16),'Resol  Asuntos'!D16/NºAsuntos!G16," - ")</f>
        <v>0.19478798586572438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237</v>
      </c>
      <c r="AC18" s="547">
        <f>IF(ISNUMBER(Datos!Q18),Datos!Q18," - ")</f>
        <v>13</v>
      </c>
      <c r="AD18" s="549"/>
      <c r="AE18" s="562"/>
      <c r="AF18" s="551">
        <f>IF(ISNUMBER(Datos!L18),Datos!L18,"-")</f>
        <v>98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68</v>
      </c>
      <c r="BD18" s="693">
        <f>IF(ISNUMBER(Datos!N18),Datos!N18," - ")</f>
        <v>161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0.99163179916317989</v>
      </c>
      <c r="BH18" s="764">
        <f>IF(ISNUMBER(((IF(D_I="SI",Datos!L18/Datos!K18,(Datos!L18+Datos!AF18)/(Datos!K18+Datos!AE18)))*11)/factor_trimestre),((IF(D_I="SI",Datos!L18/Datos!K18,(Datos!L18+Datos!AF18)/(Datos!K18+Datos!AE18)))*11)/factor_trimestre," - ")</f>
        <v>1.240506329113924</v>
      </c>
      <c r="BI18" s="763">
        <f>IF(ISNUMBER('Resol  Asuntos'!D18/NºAsuntos!G18),'Resol  Asuntos'!D18/NºAsuntos!G18," - ")</f>
        <v>0.28691983122362869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1247</v>
      </c>
      <c r="G23" s="1197">
        <f>SUBTOTAL(9,G16:G22)</f>
        <v>1309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2501</v>
      </c>
      <c r="AC23" s="1198">
        <f t="shared" si="5"/>
        <v>123</v>
      </c>
      <c r="AD23" s="1198">
        <f t="shared" si="5"/>
        <v>0</v>
      </c>
      <c r="AE23" s="1198">
        <f t="shared" si="5"/>
        <v>0</v>
      </c>
      <c r="AF23" s="1198">
        <f t="shared" si="5"/>
        <v>1246</v>
      </c>
      <c r="AG23" s="1198">
        <f t="shared" si="5"/>
        <v>0</v>
      </c>
      <c r="AH23" s="1198">
        <f t="shared" si="5"/>
        <v>0</v>
      </c>
      <c r="AI23" s="1198">
        <f t="shared" si="5"/>
        <v>0</v>
      </c>
      <c r="AJ23" s="1198">
        <f t="shared" si="5"/>
        <v>0</v>
      </c>
      <c r="AK23" s="1198">
        <f t="shared" si="5"/>
        <v>0</v>
      </c>
      <c r="AL23" s="1198">
        <f t="shared" si="5"/>
        <v>0</v>
      </c>
      <c r="AM23" s="1198">
        <f t="shared" si="5"/>
        <v>291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509</v>
      </c>
      <c r="BD23" s="1198">
        <f t="shared" si="5"/>
        <v>1260</v>
      </c>
      <c r="BE23" s="1198">
        <f t="shared" si="5"/>
        <v>0</v>
      </c>
      <c r="BF23" s="1198">
        <f t="shared" si="5"/>
        <v>0</v>
      </c>
      <c r="BG23" s="1198">
        <f>IF(ISNUMBER(Datos!K23/Datos!J23),Datos!K23/Datos!J23," - ")</f>
        <v>1.0403494176372712</v>
      </c>
      <c r="BH23" s="1202">
        <f>IF(ISNUMBER(((Datos!L23/Datos!K23)*11)/factor_trimestre),((Datos!L23/Datos!K23)*11)/factor_trimestre," - ")</f>
        <v>1.4946021591363456</v>
      </c>
      <c r="BI23" s="1198">
        <f>SUBTOTAL(9,BI16:BI22)</f>
        <v>0.48170781708935306</v>
      </c>
      <c r="BJ23" s="1198">
        <f>SUBTOTAL(9,BJ16:BJ22)</f>
        <v>0</v>
      </c>
      <c r="BK23" s="1198">
        <f>SUBTOTAL(9,BK16:BK22)</f>
        <v>0</v>
      </c>
      <c r="BL23" s="1198">
        <f>IF(ISNUMBER((I23-AB23+L23)/(F23)),(I23-AB23+L23)/(F23)," - ")</f>
        <v>-2.0056134723336005</v>
      </c>
      <c r="BM23" s="1205">
        <f>IF(ISNUMBER((Datos!P23-Datos!Q23)/(Datos!R23-Datos!P23+Datos!Q23)),(Datos!P23-Datos!Q23)/(Datos!R23-Datos!P23+Datos!Q23)," - ")</f>
        <v>6.5934065934065936E-2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1288</v>
      </c>
      <c r="G31" s="1117">
        <f t="shared" si="18"/>
        <v>1350</v>
      </c>
      <c r="H31" s="1119">
        <f t="shared" si="18"/>
        <v>0</v>
      </c>
      <c r="I31" s="1117">
        <f t="shared" si="18"/>
        <v>0</v>
      </c>
      <c r="J31" s="1119">
        <f t="shared" si="18"/>
        <v>0</v>
      </c>
      <c r="K31" s="1119">
        <f t="shared" si="18"/>
        <v>0</v>
      </c>
      <c r="L31" s="1180">
        <f t="shared" si="18"/>
        <v>0</v>
      </c>
      <c r="M31" s="1180">
        <f t="shared" si="18"/>
        <v>0</v>
      </c>
      <c r="N31" s="1180">
        <f t="shared" si="18"/>
        <v>226</v>
      </c>
      <c r="O31" s="1180">
        <f t="shared" si="18"/>
        <v>0</v>
      </c>
      <c r="P31" s="1180">
        <f t="shared" si="18"/>
        <v>0</v>
      </c>
      <c r="Q31" s="1119">
        <f t="shared" si="18"/>
        <v>684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2526</v>
      </c>
      <c r="AC31" s="1118">
        <f t="shared" si="19"/>
        <v>543</v>
      </c>
      <c r="AD31" s="1118">
        <f t="shared" si="19"/>
        <v>0</v>
      </c>
      <c r="AE31" s="1118">
        <f t="shared" si="19"/>
        <v>0</v>
      </c>
      <c r="AF31" s="1125">
        <f t="shared" si="19"/>
        <v>1292</v>
      </c>
      <c r="AG31" s="1125">
        <f t="shared" si="19"/>
        <v>0</v>
      </c>
      <c r="AH31" s="1125">
        <f t="shared" si="19"/>
        <v>226</v>
      </c>
      <c r="AI31" s="1125">
        <f t="shared" si="19"/>
        <v>0</v>
      </c>
      <c r="AJ31" s="1118">
        <f t="shared" si="19"/>
        <v>0</v>
      </c>
      <c r="AK31" s="1125">
        <f t="shared" si="19"/>
        <v>0</v>
      </c>
      <c r="AL31" s="1125">
        <f t="shared" si="19"/>
        <v>0</v>
      </c>
      <c r="AM31" s="1125">
        <f t="shared" si="19"/>
        <v>7712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991</v>
      </c>
      <c r="BD31" s="1117">
        <f t="shared" si="19"/>
        <v>2183</v>
      </c>
      <c r="BE31" s="1117">
        <f t="shared" si="19"/>
        <v>0</v>
      </c>
      <c r="BF31" s="1127">
        <f t="shared" si="19"/>
        <v>0</v>
      </c>
      <c r="BG31" s="1223">
        <f>IF(ISNUMBER(Datos!K31/Datos!J31),Datos!K31/Datos!J31," - ")</f>
        <v>1.015148282483465</v>
      </c>
      <c r="BH31" s="1223">
        <f>IF(ISNUMBER(((Datos!L31/Datos!K31)*11)/factor_trimestre),((Datos!L31/Datos!K31)*11)/factor_trimestre," - ")</f>
        <v>3.3026481715006306</v>
      </c>
      <c r="BI31" s="1103">
        <f>IF(ISNUMBER(Datos!J31/Datos!I31),Datos!J31/Datos!I31," - ")</f>
        <v>0.88853080568720377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-1.9611801242236024</v>
      </c>
      <c r="BM31" s="1188">
        <f>IF(ISNUMBER((Datos!P31-Datos!Q31+R31)/(Datos!R31-Datos!P31+Datos!Q31-R31)),(Datos!P31-Datos!Q31+R31)/(Datos!R31-Datos!P31+Datos!Q31-R31)," - ")</f>
        <v>1.8623695680887599E-2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600.75119641994888</v>
      </c>
      <c r="G33" s="674">
        <f>IF(ISNUMBER(STDEV(G8:G30)),STDEV(G8:G30),"-")</f>
        <v>571.48653277470783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1085.4740899717506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240.71366115504676</v>
      </c>
      <c r="BD33" s="673"/>
      <c r="BE33" s="673">
        <f>IF(ISNUMBER(STDEV(BE8:BE30)),STDEV(BE8:BE30),"-")</f>
        <v>0</v>
      </c>
      <c r="BF33" s="678">
        <f>IF(ISNUMBER(STDEV(BF8:BF30)),STDEV(BF8:BF30),"-")</f>
        <v>0</v>
      </c>
      <c r="BG33" s="1052">
        <f>IF(ISNUMBER(STDEV(BG8:BG30)),STDEV(BG8:BG30),"-")</f>
        <v>0.19567434799195405</v>
      </c>
      <c r="BH33" s="1058">
        <f>IF(ISNUMBER(STDEV(BH8:BH30)),STDEV(BH8:BH30),"-")</f>
        <v>2.1869339939916053</v>
      </c>
      <c r="BI33" s="273">
        <f>IF(ISNUMBER(STDEV(BI8:BI30)),STDEV(BI8:BI30),"-")</f>
        <v>0.13566079447366405</v>
      </c>
      <c r="BJ33" s="244" t="str">
        <f>IF(ISNUMBER(BL33/BM33),BL33/BM33," - ")</f>
        <v xml:space="preserve"> - </v>
      </c>
      <c r="BK33" s="709"/>
      <c r="BL33" s="681">
        <f>IF(ISNUMBER(STDEV(BL8:BL30)),STDEV(BL8:BL30),"-")</f>
        <v>0.98702021527097505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yP+GYn0nAXiBCmPI8gghg2EklD0g+wGAUY8cUUEKg59QjBqfXptEQffiPs046jRC1b5kP0+jDI/zEbGrbPDuw==" saltValue="zwSC8kW6sHqxwE2m4fmw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GANDIA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536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417</v>
      </c>
      <c r="AA9" s="551" t="str">
        <f>IF(ISNUMBER(IF(J_V="SI",Datos!L9,Datos!L9+Datos!AB9)-IF(Monitorios="SI",Datos!CD9,0)),
                          IF(J_V="SI",Datos!L9,Datos!L9+Datos!AB9)-IF(Monitorios="SI",Datos!CD9,0),
                          " - ")</f>
        <v xml:space="preserve"> - </v>
      </c>
      <c r="AB9" s="549"/>
      <c r="AC9" s="549"/>
      <c r="AD9" s="563"/>
      <c r="AE9" s="563">
        <f>IF(ISNUMBER(Datos!R9),Datos!R9," - ")</f>
        <v>7270</v>
      </c>
      <c r="AF9" s="693" t="str">
        <f>IF(ISNUMBER(Datos!BV9),Datos!BV9," - ")</f>
        <v xml:space="preserve"> - </v>
      </c>
      <c r="AG9" s="552" t="str">
        <f>IF(ISNUMBER(Datos!DV9),Datos!DV9," - ")</f>
        <v xml:space="preserve"> - </v>
      </c>
      <c r="AH9" s="553"/>
      <c r="AI9" s="554"/>
      <c r="AJ9" s="552">
        <f>IF(ISNUMBER(Datos!M9),Datos!M9," - ")</f>
        <v>473</v>
      </c>
      <c r="AK9" s="693">
        <f>IF(ISNUMBER(Datos!N9),Datos!N9," - ")</f>
        <v>911</v>
      </c>
      <c r="AL9" s="693" t="str">
        <f>IF(ISNUMBER(Datos!BW9),Datos!BW9," - ")</f>
        <v xml:space="preserve"> - </v>
      </c>
      <c r="AM9" s="762" t="str">
        <f>IF(ISNUMBER(Datos!BX9),Datos!BX9," - ")</f>
        <v xml:space="preserve"> - </v>
      </c>
      <c r="AN9" s="763"/>
      <c r="AO9" s="764">
        <f>IF(ISNUMBER(((NºAsuntos!I9/NºAsuntos!G9)*11)/factor_trimestre),((NºAsuntos!I9/NºAsuntos!G9)*11)/factor_trimestre," - ")</f>
        <v>5.0647773279352224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1.6641029226681581E-2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1</v>
      </c>
      <c r="AA10" s="551">
        <f>IF(ISNUMBER(Datos!L10),Datos!L10,"-")</f>
        <v>46</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9</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5.5200000000000005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95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-2.0618556701030927E-2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543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420</v>
      </c>
      <c r="AA14" s="1199">
        <f t="shared" si="3"/>
        <v>46</v>
      </c>
      <c r="AB14" s="1199">
        <f t="shared" si="3"/>
        <v>0</v>
      </c>
      <c r="AC14" s="1199">
        <f t="shared" si="3"/>
        <v>0</v>
      </c>
      <c r="AD14" s="1199">
        <f t="shared" si="3"/>
        <v>0</v>
      </c>
      <c r="AE14" s="1199">
        <f t="shared" si="3"/>
        <v>7421</v>
      </c>
      <c r="AF14" s="1211">
        <f t="shared" si="3"/>
        <v>0</v>
      </c>
      <c r="AG14" s="1211">
        <f t="shared" si="3"/>
        <v>0</v>
      </c>
      <c r="AH14" s="1211">
        <f t="shared" si="3"/>
        <v>0</v>
      </c>
      <c r="AI14" s="1211">
        <f t="shared" si="3"/>
        <v>0</v>
      </c>
      <c r="AJ14" s="1211">
        <f t="shared" si="3"/>
        <v>482</v>
      </c>
      <c r="AK14" s="1211">
        <f t="shared" si="3"/>
        <v>923</v>
      </c>
      <c r="AL14" s="1211">
        <f t="shared" si="3"/>
        <v>0</v>
      </c>
      <c r="AM14" s="1211">
        <f t="shared" si="3"/>
        <v>0</v>
      </c>
      <c r="AN14" s="1211">
        <f t="shared" si="3"/>
        <v>0</v>
      </c>
      <c r="AO14" s="1203">
        <f>IF(ISNUMBER(((NºAsuntos!I14/NºAsuntos!G14)*11)/factor_trimestre),((NºAsuntos!I14/NºAsuntos!G14)*11)/factor_trimestre," - ")</f>
        <v>5.0697115384615392</v>
      </c>
      <c r="AP14" s="1213" t="str">
        <f>IF(ISNUMBER(Datos!CI14/Datos!CJ14),Datos!CI14/Datos!CJ14," - ")</f>
        <v xml:space="preserve"> - </v>
      </c>
      <c r="AQ14" s="1236">
        <f t="shared" ref="AQ14:AV14" si="4">SUBTOTAL(9,AQ9:AQ13)</f>
        <v>0</v>
      </c>
      <c r="AR14" s="1236">
        <f t="shared" si="4"/>
        <v>0.11602247252565066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1247</v>
      </c>
      <c r="G16" s="552">
        <f>IF(ISNUMBER(IF(D_I="SI",Datos!I16,Datos!I16+Datos!AC16)),IF(D_I="SI",Datos!I16,Datos!I16+Datos!AC16)," - ")</f>
        <v>1213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2264</v>
      </c>
      <c r="Z16" s="805">
        <f>IF(ISNUMBER(Datos!Q16),Datos!Q16," - ")</f>
        <v>110</v>
      </c>
      <c r="AA16" s="551">
        <f>IF(ISNUMBER(IF(D_I="SI",Datos!L16,Datos!L16+Datos!AF16)),IF(D_I="SI",Datos!L16,Datos!L16+Datos!AF16)," - ")</f>
        <v>1148</v>
      </c>
      <c r="AB16" s="549"/>
      <c r="AC16" s="549"/>
      <c r="AD16" s="563"/>
      <c r="AE16" s="563">
        <f>IF(ISNUMBER(Datos!R16),Datos!R16," - ")</f>
        <v>290</v>
      </c>
      <c r="AF16" s="693" t="str">
        <f>IF(ISNUMBER(Datos!BV16),Datos!BV16," - ")</f>
        <v xml:space="preserve"> - </v>
      </c>
      <c r="AG16" s="552"/>
      <c r="AH16" s="553"/>
      <c r="AI16" s="554"/>
      <c r="AJ16" s="552">
        <f>IF(ISNUMBER(Datos!M16),Datos!M16," - ")</f>
        <v>441</v>
      </c>
      <c r="AK16" s="693">
        <f>IF(ISNUMBER(Datos!N16),Datos!N16," - ")</f>
        <v>1099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1.521201413427562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237</v>
      </c>
      <c r="Z18" s="805">
        <f>IF(ISNUMBER(Datos!Q18),Datos!Q18," - ")</f>
        <v>13</v>
      </c>
      <c r="AA18" s="551">
        <f>IF(ISNUMBER(Datos!L18),Datos!L18,"-")</f>
        <v>98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68</v>
      </c>
      <c r="AK18" s="693">
        <f>IF(ISNUMBER(Datos!N18),Datos!N18," - ")</f>
        <v>161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1.240506329113924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1247</v>
      </c>
      <c r="G23" s="1197">
        <f>SUBTOTAL(9,G16:G22)</f>
        <v>1309</v>
      </c>
      <c r="H23" s="1240">
        <f>SUBTOTAL(9,H16:H22)</f>
        <v>0</v>
      </c>
      <c r="I23" s="1217">
        <f>SUBTOTAL(9,I16:I22)</f>
        <v>0</v>
      </c>
      <c r="J23" s="1164">
        <f>SUBTOTAL(9,J15:J22)</f>
        <v>0</v>
      </c>
      <c r="K23" s="1240">
        <f t="shared" ref="K23:S23" si="5">SUBTOTAL(9,K16:K22)</f>
        <v>0</v>
      </c>
      <c r="L23" s="1240">
        <f t="shared" si="5"/>
        <v>0</v>
      </c>
      <c r="M23" s="1240">
        <f t="shared" si="5"/>
        <v>0</v>
      </c>
      <c r="N23" s="1240">
        <f t="shared" si="5"/>
        <v>141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2501</v>
      </c>
      <c r="Z23" s="1240">
        <f t="shared" si="6"/>
        <v>123</v>
      </c>
      <c r="AA23" s="1240">
        <f t="shared" si="6"/>
        <v>1246</v>
      </c>
      <c r="AB23" s="1240">
        <f t="shared" si="6"/>
        <v>0</v>
      </c>
      <c r="AC23" s="1240">
        <f t="shared" si="6"/>
        <v>0</v>
      </c>
      <c r="AD23" s="1240">
        <f t="shared" si="6"/>
        <v>0</v>
      </c>
      <c r="AE23" s="1240">
        <f t="shared" si="6"/>
        <v>291</v>
      </c>
      <c r="AF23" s="1240">
        <f t="shared" si="6"/>
        <v>0</v>
      </c>
      <c r="AG23" s="1240">
        <f t="shared" si="6"/>
        <v>0</v>
      </c>
      <c r="AH23" s="1240">
        <f t="shared" si="6"/>
        <v>0</v>
      </c>
      <c r="AI23" s="1240">
        <f t="shared" si="6"/>
        <v>0</v>
      </c>
      <c r="AJ23" s="1240">
        <f t="shared" si="6"/>
        <v>509</v>
      </c>
      <c r="AK23" s="1240">
        <f t="shared" si="6"/>
        <v>1260</v>
      </c>
      <c r="AL23" s="1240">
        <f t="shared" si="6"/>
        <v>0</v>
      </c>
      <c r="AM23" s="1240">
        <f t="shared" si="6"/>
        <v>0</v>
      </c>
      <c r="AN23" s="1240">
        <f t="shared" si="6"/>
        <v>0</v>
      </c>
      <c r="AO23" s="1242">
        <f>IF(ISNUMBER(((NºAsuntos!I23/NºAsuntos!G23)*11)/factor_trimestre),((NºAsuntos!I23/NºAsuntos!G23)*11)/factor_trimestre," - ")</f>
        <v>1.4946021591363456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1288</v>
      </c>
      <c r="G31" s="1117">
        <f t="shared" si="12"/>
        <v>1350</v>
      </c>
      <c r="H31" s="1118">
        <f t="shared" si="12"/>
        <v>0</v>
      </c>
      <c r="I31" s="1117">
        <f t="shared" si="12"/>
        <v>0</v>
      </c>
      <c r="J31" s="1119">
        <f t="shared" si="12"/>
        <v>0</v>
      </c>
      <c r="K31" s="1117">
        <f t="shared" si="12"/>
        <v>0</v>
      </c>
      <c r="L31" s="1120">
        <f t="shared" si="12"/>
        <v>0</v>
      </c>
      <c r="M31" s="1117">
        <f t="shared" si="12"/>
        <v>0</v>
      </c>
      <c r="N31" s="1118">
        <f t="shared" si="12"/>
        <v>684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2526</v>
      </c>
      <c r="Z31" s="1124">
        <f t="shared" si="13"/>
        <v>543</v>
      </c>
      <c r="AA31" s="1125">
        <f t="shared" si="13"/>
        <v>1292</v>
      </c>
      <c r="AB31" s="1125">
        <f t="shared" si="13"/>
        <v>0</v>
      </c>
      <c r="AC31" s="1125">
        <f t="shared" si="13"/>
        <v>0</v>
      </c>
      <c r="AD31" s="1126">
        <f t="shared" si="13"/>
        <v>0</v>
      </c>
      <c r="AE31" s="1126">
        <f t="shared" si="13"/>
        <v>7712</v>
      </c>
      <c r="AF31" s="1127">
        <f t="shared" si="13"/>
        <v>0</v>
      </c>
      <c r="AG31" s="1128">
        <f t="shared" si="13"/>
        <v>0</v>
      </c>
      <c r="AH31" s="1129">
        <f t="shared" si="13"/>
        <v>0</v>
      </c>
      <c r="AI31" s="1127">
        <f t="shared" si="13"/>
        <v>0</v>
      </c>
      <c r="AJ31" s="1117">
        <f t="shared" si="13"/>
        <v>991</v>
      </c>
      <c r="AK31" s="1117">
        <f t="shared" si="13"/>
        <v>2183</v>
      </c>
      <c r="AL31" s="1117">
        <f t="shared" si="13"/>
        <v>0</v>
      </c>
      <c r="AM31" s="1130">
        <f t="shared" si="13"/>
        <v>0</v>
      </c>
      <c r="AN31" s="1120">
        <f>IF(ISNUMBER(Datos!K31/Datos!J31),Datos!K31/Datos!J31," - ")</f>
        <v>1.015148282483465</v>
      </c>
      <c r="AO31" s="1120">
        <f>IF(ISNUMBER(FIND("06",Criterios!A8,1)),(IF(ISNUMBER(((Datos!R31/Datos!Q31)*11)/factor_trimestre),((Datos!R31/Datos!Q31)*11)/factor_trimestre," - ")),(IF(ISNUMBER(((Datos!L31/Datos!K31)*11)/factor_trimestre),((Datos!L31/Datos!K31)*11)/factor_trimestre," - ")))</f>
        <v>3.3026481715006306</v>
      </c>
      <c r="AP31" s="1131" t="str">
        <f>IF(ISNUMBER(Datos!CI31/Datos!CJ31),Datos!CI31/Datos!CJ31," - ")</f>
        <v xml:space="preserve"> - </v>
      </c>
      <c r="AQ31" s="1131">
        <f>IF(OR(ISNUMBER(FIND("01",Criterios!A8,1)),ISNUMBER(FIND("02",Criterios!A8,1)),ISNUMBER(FIND("03",Criterios!A8,1)),ISNUMBER(FIND("04",Criterios!A8,1))),(J31-Y31+K31)/(F31-K31),(I31-Y31+K31)/(F31-K31))</f>
        <v>-1.9611801242236024</v>
      </c>
      <c r="AR31" s="1131">
        <f>IF(ISNUMBER((Datos!P31-Datos!Q31+O31)/(Datos!R31-Datos!P31+Datos!Q31-O31)),(Datos!P31-Datos!Q31+O31)/(Datos!R31-Datos!P31+Datos!Q31-O31)," - ")</f>
        <v>1.8623695680887599E-2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600.75119641994888</v>
      </c>
      <c r="G33" s="674">
        <f>IF(ISNUMBER(STDEV(G8:G30)),STDEV(G8:G30),"-")</f>
        <v>571.48653277470783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240.71366115504676</v>
      </c>
      <c r="AK33" s="276"/>
      <c r="AL33" s="276">
        <f>IF(ISNUMBER(STDEV(AL8:AL30)),STDEV(AL8:AL30),"-")</f>
        <v>0</v>
      </c>
      <c r="AM33" s="278">
        <f>IF(ISNUMBER(STDEV(AM8:AM30)),STDEV(AM8:AM30),"-")</f>
        <v>0</v>
      </c>
      <c r="AN33" s="660">
        <f>IF(ISNUMBER(STDEV(AN8:AN30)),STDEV(AN8:AN30),"-")</f>
        <v>0</v>
      </c>
      <c r="AO33" s="661">
        <f>IF(ISNUMBER(STDEV(AO8:AO30)),STDEV(AO8:AO30),"-")</f>
        <v>2.1602917329552773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Q64QcV8RTL4PMmMbvW5NXZV1WZ7ahgPU+82hMjZiQjA/9ALAUPxckO5BRs3JtxsGFn4t5X2JHhN7fNzpxibRQ==" saltValue="6YALrsSvUt31zSmMoSpd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I37W5o8Q9k39WRrUWtIpZqev20Zhz1zChFzOPnkd4z9umR1LRNJ/7S1/OVQOoJdflAziM/oS87/Ra3EsSTaDw==" saltValue="2IgetI2XZ2q6nOkjoFcI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1lRJrcC8TFj+b3p2XTUZ2xGzfktJ7ag0e5U+fdA2UvePNdgZT2U0SEdWvYd4x4e7U2kvHLaWpiYpReq2TYHfA==" saltValue="yexdNrd58L4u9SYcEIWQ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GANDIA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0.19310897435897437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0.13654866527720991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IgGt/aM0ZXvhI4KQOOTgwVT+HFeqaAn0kZYNFMeW6UI82J9W4S4eJ2njQ7PsJ+HBtZywbsnbr10wS+iDJgNw==" saltValue="dix79kWOg1kzb3mTVigB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u/rOIMRiGCX2JNi2Rs+e3irfz8c+4anNSmxKwM4Oo1WkoPAsZwbvdG+msRq9yknB9B8semwJcF8Z6pqX0jyv9Q==" saltValue="/yZMqsyTAOv9b8UUT1Ih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GANDIA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4163</v>
      </c>
      <c r="D9" s="452">
        <f>IF(ISNUMBER(C9/Datos!BH9),C9/Datos!BH9," - ")</f>
        <v>693.83333333333337</v>
      </c>
      <c r="E9" s="451">
        <f>IF(ISNUMBER(IF(J_V="SI",Datos!J9,Datos!J9+Datos!Z9)),IF(J_V="SI",Datos!J9,Datos!J9+Datos!Z9)," - ")</f>
        <v>2477</v>
      </c>
      <c r="F9" s="452">
        <f>IF(ISNUMBER(E9/B9),E9/B9," - ")</f>
        <v>412.83333333333331</v>
      </c>
      <c r="G9" s="451">
        <f>IF(ISNUMBER(IF(J_V="SI",Datos!K9,Datos!K9+Datos!AA9)),IF(J_V="SI",Datos!K9,Datos!K9+Datos!AA9)," - ")</f>
        <v>2470</v>
      </c>
      <c r="H9" s="452">
        <f>IF(ISNUMBER(G9/B9),G9/B9," - ")</f>
        <v>411.66666666666669</v>
      </c>
      <c r="I9" s="451">
        <f>IF(ISNUMBER(IF(J_V="SI",Datos!L9,Datos!L9+Datos!AB9)),IF(J_V="SI",Datos!L9,Datos!L9+Datos!AB9)," - ")</f>
        <v>4170</v>
      </c>
      <c r="J9" s="452">
        <f>IF(ISNUMBER(I9/B9),I9/B9," - ")</f>
        <v>695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30</v>
      </c>
      <c r="F10" s="452">
        <f>IF(ISNUMBER(E10/B10),E10/B10," - ")</f>
        <v>30</v>
      </c>
      <c r="G10" s="451">
        <f>IF(ISNUMBER(Datos!K10),Datos!K10," - ")</f>
        <v>25</v>
      </c>
      <c r="H10" s="452">
        <f>IF(ISNUMBER(G10/B10),G10/B10," - ")</f>
        <v>25</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4205</v>
      </c>
      <c r="D14" s="1147" t="str">
        <f>IF(ISNUMBER(C14/Datos!BI14),C14/Datos!BI14," - ")</f>
        <v xml:space="preserve"> - </v>
      </c>
      <c r="E14" s="1146">
        <f>SUBTOTAL(9,E8:E13)</f>
        <v>2509</v>
      </c>
      <c r="F14" s="1147">
        <f>IF(ISNUMBER(E14/B14),E14/B14," - ")</f>
        <v>358.42857142857144</v>
      </c>
      <c r="G14" s="1146">
        <f>SUBTOTAL(9,G8:G13)</f>
        <v>2496</v>
      </c>
      <c r="H14" s="1147">
        <f>IF(ISNUMBER(G14/B14),G14/B14," - ")</f>
        <v>356.57142857142856</v>
      </c>
      <c r="I14" s="1146">
        <f>SUBTOTAL(9,I8:I13)</f>
        <v>4218</v>
      </c>
      <c r="J14" s="1147">
        <f>IF(ISNUMBER(I14/B14),I14/B14," - ")</f>
        <v>602.57142857142856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1213</v>
      </c>
      <c r="D16" s="452">
        <f>IF(ISNUMBER(C16/Datos!BH16),C16/Datos!BH16," - ")</f>
        <v>404.33333333333331</v>
      </c>
      <c r="E16" s="451">
        <f>IF(ISNUMBER(IF(D_I="SI",Datos!J16,Datos!J16+Datos!AD16)),IF(D_I="SI",Datos!J16,Datos!J16+Datos!AD16)," - ")</f>
        <v>2165</v>
      </c>
      <c r="F16" s="452">
        <f>IF(ISNUMBER(E16/B16),E16/B16," - ")</f>
        <v>721.66666666666663</v>
      </c>
      <c r="G16" s="451">
        <f>IF(ISNUMBER(IF(D_I="SI",Datos!K16,Datos!K16+Datos!AE16)),IF(D_I="SI",Datos!K16,Datos!K16+Datos!AE16)," - ")</f>
        <v>2264</v>
      </c>
      <c r="H16" s="452">
        <f>IF(ISNUMBER(G16/B16),G16/B16," - ")</f>
        <v>754.66666666666663</v>
      </c>
      <c r="I16" s="451">
        <f>IF(ISNUMBER(IF(D_I="SI",Datos!L16,Datos!L16+Datos!AF16)),IF(D_I="SI",Datos!L16,Datos!L16+Datos!AF16)," - ")</f>
        <v>1148</v>
      </c>
      <c r="J16" s="452">
        <f>IF(ISNUMBER(I16/B16),I16/B16," - ")</f>
        <v>382.66666666666669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96</v>
      </c>
      <c r="D18" s="452">
        <f>IF(ISNUMBER(C18/Datos!BH18),C18/Datos!BH18," - ")</f>
        <v>96</v>
      </c>
      <c r="E18" s="451">
        <f>IF(ISNUMBER(IF(D_I="SI",Datos!J18,Datos!J18+Datos!AD18)),IF(D_I="SI",Datos!J18,Datos!J18+Datos!AD18)," - ")</f>
        <v>239</v>
      </c>
      <c r="F18" s="452">
        <f>IF(ISNUMBER(E18/B18),E18/B18," - ")</f>
        <v>239</v>
      </c>
      <c r="G18" s="451">
        <f>IF(ISNUMBER(IF(D_I="SI",Datos!K18,Datos!K18+Datos!AE18)),IF(D_I="SI",Datos!K18,Datos!K18+Datos!AE18)," - ")</f>
        <v>237</v>
      </c>
      <c r="H18" s="452">
        <f>IF(ISNUMBER(G18/B18),G18/B18," - ")</f>
        <v>237</v>
      </c>
      <c r="I18" s="451">
        <f>IF(ISNUMBER(IF(D_I="SI",Datos!L18,Datos!L18+Datos!AF18)),IF(D_I="SI",Datos!L18,Datos!L18+Datos!AF18)," - ")</f>
        <v>98</v>
      </c>
      <c r="J18" s="452">
        <f>IF(ISNUMBER(I18/B18),I18/B18," - ")</f>
        <v>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1309</v>
      </c>
      <c r="D23" s="1147" t="str">
        <f>IF(ISNUMBER(C23/Datos!BI23),C23/Datos!BI23," - ")</f>
        <v xml:space="preserve"> - </v>
      </c>
      <c r="E23" s="1146">
        <f>SUBTOTAL(9,E15:E22)</f>
        <v>2404</v>
      </c>
      <c r="F23" s="1147">
        <f>IF(ISNUMBER(E23/B23),E23/B23," - ")</f>
        <v>601</v>
      </c>
      <c r="G23" s="1146">
        <f>SUBTOTAL(9,G15:G22)</f>
        <v>2501</v>
      </c>
      <c r="H23" s="1147">
        <f>IF(ISNUMBER(G23/B23),G23/B23," - ")</f>
        <v>625.25</v>
      </c>
      <c r="I23" s="1146">
        <f>SUBTOTAL(9,I15:I22)</f>
        <v>1246</v>
      </c>
      <c r="J23" s="1147">
        <f>IF(ISNUMBER(I23/B23),I23/B23," - ")</f>
        <v>311.5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5514</v>
      </c>
      <c r="D31" s="1085" t="str">
        <f>IF(ISNUMBER(C31/Datos!BI31),C31/Datos!BI31," - ")</f>
        <v xml:space="preserve"> - </v>
      </c>
      <c r="E31" s="1084">
        <f>SUBTOTAL(9,E9:E30)</f>
        <v>4913</v>
      </c>
      <c r="F31" s="1085">
        <f>IF(ISNUMBER(E31/B31),E31/B31," - ")</f>
        <v>491.3</v>
      </c>
      <c r="G31" s="1084">
        <f>SUBTOTAL(9,G9:G30)</f>
        <v>4997</v>
      </c>
      <c r="H31" s="1085">
        <f>IF(ISNUMBER(G31/B31),G31/B31," - ")</f>
        <v>499.7</v>
      </c>
      <c r="I31" s="1084">
        <f>SUBTOTAL(9,I9:I30)</f>
        <v>5464</v>
      </c>
      <c r="J31" s="1085">
        <f>IF(ISNUMBER(I31/B31),I31/B31," - ")</f>
        <v>546.4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1x+2QI2Ol/fw7WGrpjHoifgboVeQiIVfT/B8nWSPja+XVGDlPA+2hp2S2FNscG2yyLauhT6/rzeV79X+wORKw==" saltValue="aWCtsfabXGzpwPk1wVMi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GANDIA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5.5200000000000005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-2.0618556701030927E-2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2</v>
      </c>
      <c r="AE14" s="1257">
        <f t="shared" si="1"/>
        <v>0</v>
      </c>
      <c r="AF14" s="1257">
        <f t="shared" si="1"/>
        <v>46</v>
      </c>
      <c r="AG14" s="1257">
        <f t="shared" si="1"/>
        <v>0</v>
      </c>
      <c r="AH14" s="1257">
        <f t="shared" si="1"/>
        <v>95</v>
      </c>
      <c r="AI14" s="1257">
        <f t="shared" si="1"/>
        <v>0</v>
      </c>
      <c r="AJ14" s="1257">
        <f t="shared" si="1"/>
        <v>0</v>
      </c>
      <c r="AK14" s="1257">
        <f t="shared" si="1"/>
        <v>0</v>
      </c>
      <c r="AL14" s="1257">
        <f t="shared" si="1"/>
        <v>9</v>
      </c>
      <c r="AM14" s="1257">
        <f t="shared" si="1"/>
        <v>12</v>
      </c>
      <c r="AN14" s="1257">
        <f t="shared" si="1"/>
        <v>0</v>
      </c>
      <c r="AO14" s="1257">
        <f t="shared" si="1"/>
        <v>0</v>
      </c>
      <c r="AP14" s="1262">
        <f>IF(ISNUMBER(((Datos!L14/Datos!K14)*11)/factor_trimestre),((Datos!L14/Datos!K14)*11)/factor_trimestre," - ")</f>
        <v>5.3061586176340274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-0.6097560975609756</v>
      </c>
      <c r="AU14" s="1257" t="str">
        <f>IF(ISNUMBER((DatosP!#REF!-DatosP!#REF!+DatosP!#REF!)/(DatosP!#REF!+DatosP!#REF!-DatosP!#REF!-DatosP!#REF!)),(DatosP!#REF!-DatosP!#REF!+DatosP!#REF!)/(DatosP!#REF!+DatosP!#REF!-DatosP!#REF!-DatosP!#REF!)," - ")</f>
        <v xml:space="preserve"> - </v>
      </c>
      <c r="AV14" s="1263">
        <f>SUBTOTAL(9,AV9:AV13)</f>
        <v>-2.0618556701030927E-2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1.4946021591363456</v>
      </c>
      <c r="AQ23" s="1262">
        <f>IF(ISNUMBER(((Datos!M23/Datos!L23)*11)/factor_trimestre),((Datos!M23/Datos!L23)*11)/factor_trimestre," - ")</f>
        <v>1.2255216693418942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6.5934065934065936E-2</v>
      </c>
      <c r="AW23" s="1265">
        <f>IF(ISNUMBER((Datos!Q23-Datos!R23)/(Datos!S23-Datos!Q23+Datos!R23)),(Datos!Q23-Datos!R23)/(Datos!S23-Datos!Q23+Datos!R23)," - ")</f>
        <v>-9.9467140319715805E-2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2</v>
      </c>
      <c r="AE31" s="1284">
        <f t="shared" si="9"/>
        <v>0</v>
      </c>
      <c r="AF31" s="1285">
        <f t="shared" si="9"/>
        <v>46</v>
      </c>
      <c r="AG31" s="1285">
        <f t="shared" si="9"/>
        <v>0</v>
      </c>
      <c r="AH31" s="1285">
        <f t="shared" si="9"/>
        <v>95</v>
      </c>
      <c r="AI31" s="1285">
        <f t="shared" si="9"/>
        <v>0</v>
      </c>
      <c r="AJ31" s="1286">
        <f t="shared" si="9"/>
        <v>0</v>
      </c>
      <c r="AK31" s="1286">
        <f t="shared" si="9"/>
        <v>0</v>
      </c>
      <c r="AL31" s="1278">
        <f t="shared" si="9"/>
        <v>9</v>
      </c>
      <c r="AM31" s="1278">
        <f t="shared" si="9"/>
        <v>12</v>
      </c>
      <c r="AN31" s="1278">
        <f t="shared" si="9"/>
        <v>0</v>
      </c>
      <c r="AO31" s="1278">
        <f t="shared" si="9"/>
        <v>0</v>
      </c>
      <c r="AP31" s="1278">
        <f>IF(ISNUMBER(((Datos!L31/Datos!K31)*11)/factor_trimestre),((Datos!L31/Datos!K31)*11)/factor_trimestre," - ")</f>
        <v>3.3026481715006306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-0.6097560975609756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1.8623695680887599E-2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2.0774171487430357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QrIDfBelBbIEnjlgU2snX8tZgVcDR50+fh1mU0fFkpLOmXfSjw+D/VLWPRVyeTqYOIbViQ0JlvYEZ53vvOuFw==" saltValue="5lTyLLHlh0tSoO66xJMk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GANDIA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xxV5ZZ7+1u1YX6dVymi9zA9Iv43TKpldIu4iwGeL6ra4j3UEXqlKfbNU3YGaChRqDwdGmVIA7jcdsB5SdBIGg==" saltValue="MP06D6nhqQf9uqoXzYft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GANDIA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473</v>
      </c>
      <c r="E9" s="452">
        <f t="shared" ref="E9:E14" si="0">IF(ISNUMBER(D9/B9),D9/B9," - ")</f>
        <v>78.833333333333329</v>
      </c>
      <c r="F9" s="451">
        <f>IF(ISNUMBER(Datos!N9),Datos!N9," - ")</f>
        <v>911</v>
      </c>
      <c r="G9" s="452">
        <f t="shared" ref="G9:G14" si="1">IF(ISNUMBER(F9/B9),F9/B9," - ")</f>
        <v>151.83333333333334</v>
      </c>
      <c r="H9" s="451">
        <f>IF(ISNUMBER(Datos!O9),Datos!O9," - ")</f>
        <v>1427</v>
      </c>
      <c r="I9" s="452">
        <f>IF(ISNUMBER(H9/B9),H9/B9," - ")</f>
        <v>237.83333333333334</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12</v>
      </c>
      <c r="G10" s="452">
        <f>IF(ISNUMBER(F10/B10),F10/B10," - ")</f>
        <v>12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482</v>
      </c>
      <c r="E14" s="1147">
        <f t="shared" si="0"/>
        <v>68.857142857142861</v>
      </c>
      <c r="F14" s="1146">
        <f>SUBTOTAL(9,F9:F13)</f>
        <v>923</v>
      </c>
      <c r="G14" s="1147">
        <f t="shared" si="1"/>
        <v>131.85714285714286</v>
      </c>
      <c r="H14" s="1146">
        <f>SUBTOTAL(9,H9:H13)</f>
        <v>1431</v>
      </c>
      <c r="I14" s="1147">
        <f>IF(ISNUMBER(H14/B14),H14/B14," - ")</f>
        <v>204.42857142857142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441</v>
      </c>
      <c r="E16" s="452">
        <f t="shared" ref="E16:E23" si="3">IF(ISNUMBER(D16/B16),D16/B16," - ")</f>
        <v>147</v>
      </c>
      <c r="F16" s="451">
        <f>IF(ISNUMBER(Datos!N16),Datos!N16," - ")</f>
        <v>1099</v>
      </c>
      <c r="G16" s="452">
        <f t="shared" ref="G16:G23" si="4">IF(ISNUMBER(F16/B16),F16/B16," - ")</f>
        <v>366.33333333333331</v>
      </c>
      <c r="H16" s="451">
        <f>IF(ISNUMBER(Datos!O16),Datos!O16," - ")</f>
        <v>85</v>
      </c>
      <c r="I16" s="452">
        <f t="shared" ref="I16:I22" si="5">IF(ISNUMBER(H16/B16),H16/B16," - ")</f>
        <v>28.333333333333332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68</v>
      </c>
      <c r="E18" s="452">
        <f>IF(ISNUMBER(D18/B18),D18/B18," - ")</f>
        <v>68</v>
      </c>
      <c r="F18" s="451">
        <f>IF(ISNUMBER(Datos!N18),Datos!N18," - ")</f>
        <v>161</v>
      </c>
      <c r="G18" s="452">
        <f>IF(ISNUMBER(F18/B18),F18/B18," - ")</f>
        <v>161</v>
      </c>
      <c r="H18" s="451">
        <f>IF(ISNUMBER(Datos!O18),Datos!O18," - ")</f>
        <v>13</v>
      </c>
      <c r="I18" s="452">
        <f t="shared" si="5"/>
        <v>13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509</v>
      </c>
      <c r="E23" s="1147">
        <f t="shared" si="3"/>
        <v>127.25</v>
      </c>
      <c r="F23" s="1146">
        <f>SUBTOTAL(9,F16:F22)</f>
        <v>1260</v>
      </c>
      <c r="G23" s="1147">
        <f t="shared" si="4"/>
        <v>315</v>
      </c>
      <c r="H23" s="1146">
        <f>SUBTOTAL(9,H16:H22)</f>
        <v>98</v>
      </c>
      <c r="I23" s="1147">
        <f>IF(ISNUMBER(H23/B23),H23/B23," - ")</f>
        <v>24.5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991</v>
      </c>
      <c r="E31" s="1085">
        <f>IF(ISNUMBER(D31/B31),D31/B31," - ")</f>
        <v>99.1</v>
      </c>
      <c r="F31" s="1084">
        <f>SUBTOTAL(9,F8:F30)</f>
        <v>2183</v>
      </c>
      <c r="G31" s="1085">
        <f>IF(ISNUMBER(F31/B31),F31/B31," - ")</f>
        <v>218.3</v>
      </c>
      <c r="H31" s="1084">
        <f>SUBTOTAL(9,H8:H30)</f>
        <v>1529</v>
      </c>
      <c r="I31" s="1085">
        <f>IF(ISNUMBER(H31/B31),H31/B31," - ")</f>
        <v>152.9</v>
      </c>
    </row>
    <row r="34" spans="1:1">
      <c r="A34" s="439" t="str">
        <f>Criterios!A4</f>
        <v>Fecha Informe: 05 may. 2023</v>
      </c>
    </row>
    <row r="39" spans="1:1">
      <c r="A39" s="462"/>
    </row>
  </sheetData>
  <sheetProtection algorithmName="SHA-512" hashValue="MwaS4Mp1+cCmS+IJujhknnBC8WL6sLhIfQjCys0a+B0hF6n2XPYs13Q6hhqJ+Kwtw9fSAbAU2D3xfU9gg7bv1A==" saltValue="rtjtOzoiMGxehuuaxlAW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GANDIA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536</v>
      </c>
      <c r="C9" s="489">
        <f>IF(ISNUMBER(Datos!Q9),Datos!Q9," - ")</f>
        <v>417</v>
      </c>
      <c r="D9" s="456">
        <f>IF(ISNUMBER(Datos!R9),Datos!R9," - ")</f>
        <v>7270</v>
      </c>
    </row>
    <row r="10" spans="1:4">
      <c r="A10" s="450" t="str">
        <f>Datos!A10</f>
        <v>Jdos. Violencia contra la mujer</v>
      </c>
      <c r="B10" s="488">
        <f>IF(ISNUMBER(Datos!P10),Datos!P10," - ")</f>
        <v>7</v>
      </c>
      <c r="C10" s="489">
        <f>IF(ISNUMBER(Datos!Q10),Datos!Q10," - ")</f>
        <v>1</v>
      </c>
      <c r="D10" s="456">
        <f>IF(ISNUMBER(Datos!R10),Datos!R10," - ")</f>
        <v>56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v>
      </c>
      <c r="D12" s="456">
        <f>IF(ISNUMBER(Datos!R12),Datos!R12," - ")</f>
        <v>95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543</v>
      </c>
      <c r="C14" s="1150">
        <f>SUBTOTAL(9,C9:C13)</f>
        <v>420</v>
      </c>
      <c r="D14" s="1148">
        <f>SUBTOTAL(9,D9:D13)</f>
        <v>7421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130</v>
      </c>
      <c r="C16" s="489">
        <f>IF(ISNUMBER(Datos!Q16),Datos!Q16," - ")</f>
        <v>110</v>
      </c>
      <c r="D16" s="456">
        <f>IF(ISNUMBER(Datos!R16),Datos!R16," - ")</f>
        <v>290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11</v>
      </c>
      <c r="C18" s="489">
        <f>IF(ISNUMBER(Datos!Q18),Datos!Q18," - ")</f>
        <v>13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141</v>
      </c>
      <c r="C23" s="1150">
        <f>SUBTOTAL(9,C16:C22)</f>
        <v>123</v>
      </c>
      <c r="D23" s="1148">
        <f>SUBTOTAL(9,D16:D22)</f>
        <v>291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684</v>
      </c>
      <c r="C31" s="1089">
        <f>SUBTOTAL(9,C8:C30)</f>
        <v>543</v>
      </c>
      <c r="D31" s="1090">
        <f>SUBTOTAL(9,D8:D30)</f>
        <v>7712</v>
      </c>
    </row>
    <row r="32" spans="1:4" ht="7.5" customHeight="1"/>
    <row r="33" spans="1:1" ht="6" customHeight="1"/>
    <row r="34" spans="1:1">
      <c r="A34" s="439" t="str">
        <f>Criterios!A4</f>
        <v>Fecha Informe: 05 may. 2023</v>
      </c>
    </row>
    <row r="39" spans="1:1">
      <c r="A39" s="462"/>
    </row>
  </sheetData>
  <sheetProtection algorithmName="SHA-512" hashValue="SXfTMKJdknPTNagmOE4lqh346Qi/i9JEP7Fo0BkNdOzc3C7q9nZjdqdiOyDN43orV/vi5vE2+HyuBnzgMH6JmQ==" saltValue="Bdfib/GMIHtStQnu8w1q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GANDIA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-5.3863636363636364E-2</v>
      </c>
      <c r="C9" s="515">
        <f>IF(ISNUMBER(
   IF(J_V="SI",(Datos!J9-Datos!T9)/Datos!T9,(Datos!J9+Datos!Z9-(Datos!T9+Datos!AH9))/(Datos!T9+Datos!AH9))
     ),IF(J_V="SI",(Datos!J9-Datos!T9)/Datos!T9,(Datos!J9+Datos!Z9-(Datos!T9+Datos!AH9))/(Datos!T9+Datos!AH9))," - ")</f>
        <v>7.5553625705601396E-2</v>
      </c>
      <c r="D9" s="515">
        <f>IF(ISNUMBER(
   IF(J_V="SI",(Datos!K9-Datos!U9)/Datos!U9,(Datos!K9+Datos!AA9-(Datos!U9+Datos!AI9))/(Datos!U9+Datos!AI9))
     ),IF(J_V="SI",(Datos!K9-Datos!U9)/Datos!U9,(Datos!K9+Datos!AA9-(Datos!U9+Datos!AI9))/(Datos!U9+Datos!AI9))," - ")</f>
        <v>-5.4726368159203981E-2</v>
      </c>
      <c r="E9" s="515">
        <f>IF(ISNUMBER(
   IF(J_V="SI",(Datos!L9-Datos!V9)/Datos!V9,(Datos!L9+Datos!AB9-(Datos!V9+Datos!AJ9))/(Datos!V9+Datos!AJ9))
     ),IF(J_V="SI",(Datos!L9-Datos!V9)/Datos!V9,(Datos!L9+Datos!AB9-(Datos!V9+Datos!AJ9))/(Datos!V9+Datos!AJ9))," - ")</f>
        <v>1.4351739236195572E-2</v>
      </c>
      <c r="F9" s="515">
        <f>IF(ISNUMBER((Datos!M9-Datos!W9)/Datos!W9),(Datos!M9-Datos!W9)/Datos!W9," - ")</f>
        <v>-5.588822355289421E-2</v>
      </c>
      <c r="G9" s="516">
        <f>IF(ISNUMBER((Datos!N9-Datos!X9)/Datos!X9),(Datos!N9-Datos!X9)/Datos!X9," - ")</f>
        <v>-0.1485981308411215</v>
      </c>
      <c r="H9" s="514">
        <f>IF(ISNUMBER(((NºAsuntos!G9/NºAsuntos!E9)-Datos!BD9)/Datos!BD9),((NºAsuntos!G9/NºAsuntos!E9)-Datos!BD9)/Datos!BD9," - ")</f>
        <v>-0.12112831080768946</v>
      </c>
      <c r="I9" s="515">
        <f>IF(ISNUMBER(((NºAsuntos!I9/NºAsuntos!G9)-Datos!BE9)/Datos!BE9),((NºAsuntos!I9/NºAsuntos!G9)-Datos!BE9)/Datos!BE9," - ")</f>
        <v>7.3077366244606909E-2</v>
      </c>
      <c r="J9" s="521">
        <f>IF(ISNUMBER((('Resol  Asuntos'!D9/NºAsuntos!G9)-Datos!BF9)/Datos!BF9),(('Resol  Asuntos'!D9/NºAsuntos!G9)-Datos!BF9)/Datos!BF9," - ")</f>
        <v>-0.53235120511559275</v>
      </c>
      <c r="K9" s="522">
        <f>IF(ISNUMBER((((NºAsuntos!C9+NºAsuntos!E9)/NºAsuntos!G9)-Datos!BG9)/Datos!BG9),(((NºAsuntos!C9+NºAsuntos!E9)/NºAsuntos!G9)-Datos!BG9)/Datos!BG9," - ")</f>
        <v>4.7951820473158206E-2</v>
      </c>
    </row>
    <row r="10" spans="1:11">
      <c r="A10" s="450" t="str">
        <f>Datos!A10</f>
        <v>Jdos. Violencia contra la mujer</v>
      </c>
      <c r="B10" s="514">
        <f>IF(ISNUMBER((Datos!I10-Datos!S10)/Datos!S10),(Datos!I10-Datos!S10)/Datos!S10," - ")</f>
        <v>-0.10869565217391304</v>
      </c>
      <c r="C10" s="515">
        <f>IF(ISNUMBER((Datos!J10-Datos!T10)/Datos!T10),(Datos!J10-Datos!T10)/Datos!T10," - ")</f>
        <v>0.5</v>
      </c>
      <c r="D10" s="515">
        <f>IF(ISNUMBER((Datos!K10-Datos!U10)/Datos!U10),(Datos!K10-Datos!U10)/Datos!U10," - ")</f>
        <v>0.31578947368421051</v>
      </c>
      <c r="E10" s="515">
        <f>IF(ISNUMBER((Datos!L10-Datos!V10)/Datos!V10),(Datos!L10-Datos!V10)/Datos!V10," - ")</f>
        <v>-2.1276595744680851E-2</v>
      </c>
      <c r="F10" s="515">
        <f>IF(ISNUMBER((Datos!M10-Datos!W10)/Datos!W10),(Datos!M10-Datos!W10)/Datos!W10," - ")</f>
        <v>-0.18181818181818182</v>
      </c>
      <c r="G10" s="516">
        <f>IF(ISNUMBER((Datos!N10-Datos!X10)/Datos!X10),(Datos!N10-Datos!X10)/Datos!X10," - ")</f>
        <v>1</v>
      </c>
      <c r="H10" s="514">
        <f>IF(ISNUMBER(((NºAsuntos!G10/NºAsuntos!E10)-Datos!BD10)/Datos!BD10),((NºAsuntos!G10/NºAsuntos!E10)-Datos!BD10)/Datos!BD10," - ")</f>
        <v>-0.12280701754385957</v>
      </c>
      <c r="I10" s="515">
        <f>IF(ISNUMBER(((NºAsuntos!I10/NºAsuntos!G10)-Datos!BE10)/Datos!BE10),((NºAsuntos!I10/NºAsuntos!G10)-Datos!BE10)/Datos!BE10," - ")</f>
        <v>-0.25617021276595747</v>
      </c>
      <c r="J10" s="521">
        <f>IF(ISNUMBER((('Resol  Asuntos'!D10/NºAsuntos!G10)-Datos!BF10)/Datos!BF10),(('Resol  Asuntos'!D10/NºAsuntos!G10)-Datos!BF10)/Datos!BF10," - ")</f>
        <v>-0.37818181818181823</v>
      </c>
      <c r="K10" s="522">
        <f>IF(ISNUMBER((((NºAsuntos!C10+NºAsuntos!E10)/NºAsuntos!G10)-Datos!BG10)/Datos!BG10),(((NºAsuntos!C10+NºAsuntos!E10)/NºAsuntos!G10)-Datos!BG10)/Datos!BG10," - ")</f>
        <v>-0.18242424242424249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-5.4418709242185746E-2</v>
      </c>
      <c r="C14" s="1152">
        <f>IF(ISNUMBER(
   IF(J_V="SI",(Datos!J14-Datos!T14)/Datos!T14,(Datos!J14+Datos!Z14-(Datos!T14+Datos!AH14))/(Datos!T14+Datos!AH14))
     ),IF(J_V="SI",(Datos!J14-Datos!T14)/Datos!T14,(Datos!J14+Datos!Z14-(Datos!T14+Datos!AH14))/(Datos!T14+Datos!AH14))," - ")</f>
        <v>8.0068876452862675E-2</v>
      </c>
      <c r="D14" s="1152">
        <f>IF(ISNUMBER(
   IF(J_V="SI",(Datos!K14-Datos!U14)/Datos!U14,(Datos!K14+Datos!AA14-(Datos!U14+Datos!AI14))/(Datos!U14+Datos!AI14))
     ),IF(J_V="SI",(Datos!K14-Datos!U14)/Datos!U14,(Datos!K14+Datos!AA14-(Datos!U14+Datos!AI14))/(Datos!U14+Datos!AI14))," - ")</f>
        <v>-5.1671732522796353E-2</v>
      </c>
      <c r="E14" s="1152">
        <f>IF(ISNUMBER(
   IF(J_V="SI",(Datos!L14-Datos!V14)/Datos!V14,(Datos!L14+Datos!AB14-(Datos!V14+Datos!AJ14))/(Datos!V14+Datos!AJ14))
     ),IF(J_V="SI",(Datos!L14-Datos!V14)/Datos!V14,(Datos!L14+Datos!AB14-(Datos!V14+Datos!AJ14))/(Datos!V14+Datos!AJ14))," - ")</f>
        <v>1.4186102428468381E-2</v>
      </c>
      <c r="F14" s="1153">
        <f>IF(ISNUMBER((Datos!M14-Datos!W14)/Datos!W14),(Datos!M14-Datos!W14)/Datos!W14," - ")</f>
        <v>-5.859375E-2</v>
      </c>
      <c r="G14" s="1154">
        <f>IF(ISNUMBER((Datos!N14-Datos!X14)/Datos!X14),(Datos!N14-Datos!X14)/Datos!X14," - ")</f>
        <v>-0.14219330855018589</v>
      </c>
      <c r="H14" s="1154">
        <f>IF(ISNUMBER(((NºAsuntos!G14/NºAsuntos!E14)-Datos!BD14)/Datos!BD14),((NºAsuntos!G14/NºAsuntos!E14)-Datos!BD14)/Datos!BD14," - ")</f>
        <v>-0.12197426650077954</v>
      </c>
      <c r="I14" s="1154">
        <f>IF(ISNUMBER(((NºAsuntos!I14/NºAsuntos!G14)-Datos!BE14)/Datos!BE14),((NºAsuntos!I14/NºAsuntos!G14)-Datos!BE14)/Datos!BE14," - ")</f>
        <v>6.9446242624891338E-2</v>
      </c>
      <c r="J14" s="1154">
        <f>IF(ISNUMBER((('Resol  Asuntos'!D14/NºAsuntos!G14)-Datos!BF14)/Datos!BF14),(('Resol  Asuntos'!D14/NºAsuntos!G14)-Datos!BF14)/Datos!BF14," - ")</f>
        <v>-0.52982162764771457</v>
      </c>
      <c r="K14" s="1154">
        <f>IF(ISNUMBER((((NºAsuntos!C14+NºAsuntos!E14)/NºAsuntos!G14)-Datos!BG14)/Datos!BG14),(((NºAsuntos!C14+NºAsuntos!E14)/NºAsuntos!G14)-Datos!BG14)/Datos!BG14," - ")</f>
        <v>4.5764685831155595E-2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-0.15822345593337961</v>
      </c>
      <c r="C16" s="515">
        <f>IF(ISNUMBER(
   IF(D_I="SI",(Datos!J16-Datos!T16)/Datos!T16,(Datos!J16+Datos!AD16-(Datos!T16+Datos!AL16))/(Datos!T16+Datos!AL16))
     ),IF(D_I="SI",(Datos!J16-Datos!T16)/Datos!T16,(Datos!J16+Datos!AD16-(Datos!T16+Datos!AL16))/(Datos!T16+Datos!AL16))," - ")</f>
        <v>0.10459183673469388</v>
      </c>
      <c r="D16" s="515">
        <f>IF(ISNUMBER(
   IF(D_I="SI",(Datos!K16-Datos!U16)/Datos!U16,(Datos!K16+Datos!AE16-(Datos!U16+Datos!AM16))/(Datos!U16+Datos!AM16))
     ),IF(D_I="SI",(Datos!K16-Datos!U16)/Datos!U16,(Datos!K16+Datos!AE16-(Datos!U16+Datos!AM16))/(Datos!U16+Datos!AM16))," - ")</f>
        <v>7.7582103760114235E-2</v>
      </c>
      <c r="E16" s="515">
        <f>IF(ISNUMBER(
   IF(D_I="SI",(Datos!L16-Datos!V16)/Datos!V16,(Datos!L16+Datos!AF16-(Datos!V16+Datos!AN16))/(Datos!V16+Datos!AN16))
     ),IF(D_I="SI",(Datos!L16-Datos!V16)/Datos!V16,(Datos!L16+Datos!AF16-(Datos!V16+Datos!AN16))/(Datos!V16+Datos!AN16))," - ")</f>
        <v>-0.16143170197224252</v>
      </c>
      <c r="F16" s="515">
        <f>IF(ISNUMBER((Datos!M16-Datos!W16)/Datos!W16),(Datos!M16-Datos!W16)/Datos!W16," - ")</f>
        <v>8.8888888888888892E-2</v>
      </c>
      <c r="G16" s="516">
        <f>IF(ISNUMBER((Datos!N16-Datos!X16)/Datos!X16),(Datos!N16-Datos!X16)/Datos!X16," - ")</f>
        <v>2.3277467411545624E-2</v>
      </c>
      <c r="H16" s="514">
        <f>IF(ISNUMBER(((NºAsuntos!G16/NºAsuntos!E16)-Datos!BD16)/Datos!BD16),((NºAsuntos!G16/NºAsuntos!E16)-Datos!BD16)/Datos!BD16," - ")</f>
        <v>-2.4452229390381684E-2</v>
      </c>
      <c r="I16" s="515">
        <f>IF(ISNUMBER(((NºAsuntos!I16/NºAsuntos!G16)-Datos!BE16)/Datos!BE16),((NºAsuntos!I16/NºAsuntos!G16)-Datos!BE16)/Datos!BE16," - ")</f>
        <v>-0.22180565629137872</v>
      </c>
      <c r="J16" s="521">
        <f>IF(ISNUMBER((('Resol  Asuntos'!D16/NºAsuntos!G16)-Datos!BF16)/Datos!BF16),(('Resol  Asuntos'!D16/NºAsuntos!G16)-Datos!BF16)/Datos!BF16," - ")</f>
        <v>1.0492736552807276E-2</v>
      </c>
      <c r="K16" s="522">
        <f>IF(ISNUMBER((((NºAsuntos!C16+NºAsuntos!E16)/NºAsuntos!G16)-Datos!BG16)/Datos!BG16),(((NºAsuntos!C16+NºAsuntos!E16)/NºAsuntos!G16)-Datos!BG16)/Datos!BG16," - ")</f>
        <v>-7.8272291562552263E-2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4.3668122270742356E-2</v>
      </c>
      <c r="D18" s="515">
        <f>IF(ISNUMBER(
   IF(D_I="SI",(Datos!K18-Datos!U18)/Datos!U18,(Datos!K18+Datos!AE18-(Datos!U18+Datos!AM18))/(Datos!U18+Datos!AM18))
     ),IF(D_I="SI",(Datos!K18-Datos!U18)/Datos!U18,(Datos!K18+Datos!AE18-(Datos!U18+Datos!AM18))/(Datos!U18+Datos!AM18))," - ")</f>
        <v>-4.2016806722689074E-3</v>
      </c>
      <c r="E18" s="515">
        <f>IF(ISNUMBER(
   IF(D_I="SI",(Datos!L18-Datos!V18)/Datos!V18,(Datos!L18+Datos!AF18-(Datos!V18+Datos!AN18))/(Datos!V18+Datos!AN18))
     ),IF(D_I="SI",(Datos!L18-Datos!V18)/Datos!V18,(Datos!L18+Datos!AF18-(Datos!V18+Datos!AN18))/(Datos!V18+Datos!AN18))," - ")</f>
        <v>0.42028985507246375</v>
      </c>
      <c r="F18" s="515">
        <f>IF(ISNUMBER((Datos!M18-Datos!W18)/Datos!W18),(Datos!M18-Datos!W18)/Datos!W18," - ")</f>
        <v>-8.1081081081081086E-2</v>
      </c>
      <c r="G18" s="516">
        <f>IF(ISNUMBER((Datos!N18-Datos!X18)/Datos!X18),(Datos!N18-Datos!X18)/Datos!X18," - ")</f>
        <v>5.921052631578947E-2</v>
      </c>
      <c r="H18" s="514">
        <f>IF(ISNUMBER(((NºAsuntos!G18/NºAsuntos!E18)-Datos!BD18)/Datos!BD18),((NºAsuntos!G18/NºAsuntos!E18)-Datos!BD18)/Datos!BD18," - ")</f>
        <v>-4.5866882317780674E-2</v>
      </c>
      <c r="I18" s="515">
        <f>IF(ISNUMBER(((NºAsuntos!I18/NºAsuntos!G18)-Datos!BE18)/Datos!BE18),((NºAsuntos!I18/NºAsuntos!G18)-Datos!BE18)/Datos!BE18," - ")</f>
        <v>0.42628263927108162</v>
      </c>
      <c r="J18" s="521">
        <f>IF(ISNUMBER((('Resol  Asuntos'!D18/NºAsuntos!G18)-Datos!BF18)/Datos!BF18),(('Resol  Asuntos'!D18/NºAsuntos!G18)-Datos!BF18)/Datos!BF18," - ")</f>
        <v>-7.7203786064545601E-2</v>
      </c>
      <c r="K18" s="522">
        <f>IF(ISNUMBER((((NºAsuntos!C18+NºAsuntos!E18)/NºAsuntos!G18)-Datos!BG18)/Datos!BG18),(((NºAsuntos!C18+NºAsuntos!E18)/NºAsuntos!G18)-Datos!BG18)/Datos!BG18," - ")</f>
        <v>9.5809453126073724E-2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-0.1393819855358317</v>
      </c>
      <c r="C23" s="1152">
        <f>IF(ISNUMBER(
   IF(Criterios!B14="SI",(Datos!J23-Datos!T23)/Datos!T23,(Datos!J23+Datos!AD23-(Datos!T23+Datos!AL23))/(Datos!T23+Datos!AL23))
     ),IF(Criterios!B14="SI",(Datos!J23-Datos!T23)/Datos!T23,(Datos!J23+Datos!AD23-(Datos!T23+Datos!AL23))/(Datos!T23+Datos!AL23))," - ")</f>
        <v>9.8218364550022835E-2</v>
      </c>
      <c r="D23" s="1152">
        <f>IF(ISNUMBER(
   IF(Criterios!B14="SI",(Datos!K23-Datos!U23)/Datos!U23,(Datos!K23+Datos!AE23-(Datos!U23+Datos!AM23))/(Datos!U23+Datos!AM23))
     ),IF(Criterios!B14="SI",(Datos!K23-Datos!U23)/Datos!U23,(Datos!K23+Datos!AE23-(Datos!U23+Datos!AM23))/(Datos!U23+Datos!AM23))," - ")</f>
        <v>6.9260367678495083E-2</v>
      </c>
      <c r="E23" s="1152">
        <f>IF(ISNUMBER(
   IF(Criterios!B14="SI",(Datos!L23-Datos!V23)/Datos!V23,(Datos!L23+Datos!AF23-(Datos!V23+Datos!AN23))/(Datos!V23+Datos!AN23))
     ),IF(Criterios!B14="SI",(Datos!L23-Datos!V23)/Datos!V23,(Datos!L23+Datos!AF23-(Datos!V23+Datos!AN23))/(Datos!V23+Datos!AN23))," - ")</f>
        <v>-0.13472222222222222</v>
      </c>
      <c r="F23" s="1153">
        <f>IF(ISNUMBER((Datos!M23-Datos!W23)/Datos!W23),(Datos!M23-Datos!W23)/Datos!W23," - ")</f>
        <v>6.2630480167014613E-2</v>
      </c>
      <c r="G23" s="1154">
        <f>IF(ISNUMBER((Datos!N23-Datos!X23)/Datos!X23),(Datos!N23-Datos!X23)/Datos!X23," - ")</f>
        <v>2.7732463295269169E-2</v>
      </c>
      <c r="H23" s="1154">
        <f>IF(ISNUMBER(((NºAsuntos!G23/NºAsuntos!E23)-Datos!BD23)/Datos!BD23),((NºAsuntos!G23/NºAsuntos!E23)-Datos!BD23)/Datos!BD23," - ")</f>
        <v>-2.6368159380937724E-2</v>
      </c>
      <c r="I23" s="1154">
        <f>IF(ISNUMBER(((NºAsuntos!I23/NºAsuntos!G23)-Datos!BE23)/Datos!BE23),((NºAsuntos!I23/NºAsuntos!G23)-Datos!BE23)/Datos!BE23," - ")</f>
        <v>-0.19076980318983522</v>
      </c>
      <c r="J23" s="1154">
        <f>IF(ISNUMBER((('Resol  Asuntos'!D23/NºAsuntos!G23)-Datos!BF23)/Datos!BF23),(('Resol  Asuntos'!D23/NºAsuntos!G23)-Datos!BF23)/Datos!BF23," - ")</f>
        <v>-6.2004425787097204E-3</v>
      </c>
      <c r="K23" s="1154">
        <f>IF(ISNUMBER((((NºAsuntos!C23+NºAsuntos!E23)/NºAsuntos!G23)-Datos!BG23)/Datos!BG23),(((NºAsuntos!C23+NºAsuntos!E23)/NºAsuntos!G23)-Datos!BG23)/Datos!BG23," - ")</f>
        <v>-6.4017842997571947E-2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-7.6072386058981228E-2</v>
      </c>
      <c r="C31" s="1092">
        <f>IF(ISNUMBER(
   IF(J_V="SI",(Datos!J31-Datos!T31)/Datos!T31,(Datos!J31+Datos!Z31-(Datos!T31+Datos!AH31))/(Datos!T31+Datos!AH31))
     ),IF(J_V="SI",(Datos!J31-Datos!T31)/Datos!T31,(Datos!J31+Datos!Z31-(Datos!T31+Datos!AH31))/(Datos!T31+Datos!AH31))," - ")</f>
        <v>8.8874113475177305E-2</v>
      </c>
      <c r="D31" s="1092">
        <f>IF(ISNUMBER(
   IF(J_V="SI",(Datos!K31-Datos!U31)/Datos!U31,(Datos!K31+Datos!AA31-(Datos!U31+Datos!AI31))/(Datos!U31+Datos!AI31))
     ),IF(J_V="SI",(Datos!K31-Datos!U31)/Datos!U31,(Datos!K31+Datos!AA31-(Datos!U31+Datos!AI31))/(Datos!U31+Datos!AI31))," - ")</f>
        <v>5.2303359485013079E-3</v>
      </c>
      <c r="E31" s="1092">
        <f>IF(ISNUMBER(
   IF(J_V="SI",(Datos!L31-Datos!V31)/Datos!V31,(Datos!L31+Datos!AB31-(Datos!V31+Datos!AJ31))/(Datos!V31+Datos!AJ31))
     ),IF(J_V="SI",(Datos!L31-Datos!V31)/Datos!V31,(Datos!L31+Datos!AB31-(Datos!V31+Datos!AJ31))/(Datos!V31+Datos!AJ31))," - ")</f>
        <v>-2.4111448472941596E-2</v>
      </c>
      <c r="F31" s="1093">
        <f>IF(ISNUMBER((Datos!M31-Datos!W31)/Datos!W31),(Datos!M31-Datos!W31)/Datos!W31," - ")</f>
        <v>0</v>
      </c>
      <c r="G31" s="1094">
        <f>IF(ISNUMBER((Datos!N31-Datos!X31)/Datos!X31),(Datos!N31-Datos!X31)/Datos!X31," - ")</f>
        <v>-5.1694178974804515E-2</v>
      </c>
      <c r="H31" s="1095">
        <f>IF(ISNUMBER((Tasas!B31-Datos!BD31)/Datos!BD31),(Tasas!B31-Datos!BD31)/Datos!BD31," - ")</f>
        <v>-7.681675640145795E-2</v>
      </c>
      <c r="I31" s="1096">
        <f>IF(ISNUMBER((Tasas!C31-Datos!BE31)/Datos!BE31),(Tasas!C31-Datos!BE31)/Datos!BE31," - ")</f>
        <v>-2.918911554112329E-2</v>
      </c>
      <c r="J31" s="1097">
        <f>IF(ISNUMBER((Tasas!D31-Datos!BF31)/Datos!BF31),(Tasas!D31-Datos!BF31)/Datos!BF31," - ")</f>
        <v>-0.36804890626683701</v>
      </c>
      <c r="K31" s="1097">
        <f>IF(ISNUMBER((Tasas!E31-Datos!BG31)/Datos!BG31),(Tasas!E31-Datos!BG31)/Datos!BG31," - ")</f>
        <v>-1.0234060283498393E-2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jECTCjJABqur8vygTSuUzrO/aCUjYT8IUu3UJISEf84Old1NeJs33UF7TBhA3hJKDLnq/NoECPYlDFI+fzhCg==" saltValue="hi2L8TpzGGB24wQKDqJB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GANDIA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0.99717400080742835</v>
      </c>
      <c r="C9" s="498">
        <f>IF(ISNUMBER(NºAsuntos!I9/NºAsuntos!G9),NºAsuntos!I9/NºAsuntos!G9," - ")</f>
        <v>1.6882591093117409</v>
      </c>
      <c r="D9" s="499">
        <f>IF(ISNUMBER('Resol  Asuntos'!D9/NºAsuntos!G9),'Resol  Asuntos'!D9/NºAsuntos!G9," - ")</f>
        <v>0.19149797570850202</v>
      </c>
      <c r="E9" s="500">
        <f>IF(ISNUMBER((NºAsuntos!C9+NºAsuntos!E9)/NºAsuntos!G9),(NºAsuntos!C9+NºAsuntos!E9)/NºAsuntos!G9," - ")</f>
        <v>2.6882591093117409</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1.84</v>
      </c>
      <c r="D10" s="499">
        <f>IF(ISNUMBER('Resol  Asuntos'!D10/NºAsuntos!G10),'Resol  Asuntos'!D10/NºAsuntos!G10," - ")</f>
        <v>0.36</v>
      </c>
      <c r="E10" s="500">
        <f>IF(ISNUMBER((NºAsuntos!C10+NºAsuntos!E10)/NºAsuntos!G10),(NºAsuntos!C10+NºAsuntos!E10)/NºAsuntos!G10," - ")</f>
        <v>2.84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v>
      </c>
      <c r="C12" s="498">
        <f>IF(ISNUMBER(NºAsuntos!I12/NºAsuntos!G12),NºAsuntos!I12/NºAsuntos!G12," - ")</f>
        <v>2</v>
      </c>
      <c r="D12" s="499">
        <f>IF(ISNUMBER('Resol  Asuntos'!D12/NºAsuntos!G12),'Resol  Asuntos'!D12/NºAsuntos!G12," - ")</f>
        <v>0</v>
      </c>
      <c r="E12" s="500">
        <f>IF(ISNUMBER((NºAsuntos!C12+NºAsuntos!E12)/NºAsuntos!G12),(NºAsuntos!C12+NºAsuntos!E12)/NºAsuntos!G12," - ")</f>
        <v>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0.99481865284974091</v>
      </c>
      <c r="C14" s="1156">
        <f>IF(ISNUMBER(NºAsuntos!I14/NºAsuntos!G14),NºAsuntos!I14/NºAsuntos!G14," - ")</f>
        <v>1.6899038461538463</v>
      </c>
      <c r="D14" s="1157">
        <f>IF(ISNUMBER('Resol  Asuntos'!D14/NºAsuntos!G14),'Resol  Asuntos'!D14/NºAsuntos!G14," - ")</f>
        <v>0.19310897435897437</v>
      </c>
      <c r="E14" s="1158">
        <f>IF(ISNUMBER((NºAsuntos!C14+NºAsuntos!E14)/NºAsuntos!G14),(NºAsuntos!C14+NºAsuntos!E14)/NºAsuntos!G14," - ")</f>
        <v>2.6899038461538463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1.0457274826789837</v>
      </c>
      <c r="C16" s="498">
        <f>IF(ISNUMBER(NºAsuntos!I16/NºAsuntos!G16),NºAsuntos!I16/NºAsuntos!G16," - ")</f>
        <v>0.50706713780918733</v>
      </c>
      <c r="D16" s="499">
        <f>IF(ISNUMBER('Resol  Asuntos'!D16/NºAsuntos!G16),'Resol  Asuntos'!D16/NºAsuntos!G16," - ")</f>
        <v>0.19478798586572438</v>
      </c>
      <c r="E16" s="500">
        <f>IF(ISNUMBER((NºAsuntos!C16+NºAsuntos!E16)/NºAsuntos!G16),(NºAsuntos!C16+NºAsuntos!E16)/NºAsuntos!G16," - ")</f>
        <v>1.4920494699646643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0.99163179916317989</v>
      </c>
      <c r="C18" s="498">
        <f>IF(ISNUMBER(NºAsuntos!I18/NºAsuntos!G18),NºAsuntos!I18/NºAsuntos!G18," - ")</f>
        <v>0.41350210970464135</v>
      </c>
      <c r="D18" s="499">
        <f>IF(ISNUMBER('Resol  Asuntos'!D18/NºAsuntos!G18),'Resol  Asuntos'!D18/NºAsuntos!G18," - ")</f>
        <v>0.28691983122362869</v>
      </c>
      <c r="E18" s="500">
        <f>IF(ISNUMBER((NºAsuntos!C18+NºAsuntos!E18)/NºAsuntos!G18),(NºAsuntos!C18+NºAsuntos!E18)/NºAsuntos!G18," - ")</f>
        <v>1.4135021097046414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1.0403494176372712</v>
      </c>
      <c r="C23" s="1156">
        <f>IF(ISNUMBER(NºAsuntos!I23/NºAsuntos!G23),NºAsuntos!I23/NºAsuntos!G23," - ")</f>
        <v>0.49820071971211516</v>
      </c>
      <c r="D23" s="1159">
        <f>IF(ISNUMBER('Resol  Asuntos'!D23/NºAsuntos!G23),'Resol  Asuntos'!D23/NºAsuntos!G23," - ")</f>
        <v>0.2035185925629748</v>
      </c>
      <c r="E23" s="1158">
        <f>IF(ISNUMBER((NºAsuntos!C23+NºAsuntos!E23)/NºAsuntos!G23),(NºAsuntos!C23+NºAsuntos!E23)/NºAsuntos!G23," - ")</f>
        <v>1.4846061575369851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1.0170974964380215</v>
      </c>
      <c r="C31" s="1099">
        <f>IF(ISNUMBER(NºAsuntos!I31/NºAsuntos!G31),NºAsuntos!I31/NºAsuntos!G31," - ")</f>
        <v>1.0934560736441865</v>
      </c>
      <c r="D31" s="1100">
        <f>IF(ISNUMBER('Resol  Asuntos'!D31/NºAsuntos!G31),'Resol  Asuntos'!D31/NºAsuntos!G31," - ")</f>
        <v>0.19831899139483691</v>
      </c>
      <c r="E31" s="1101">
        <f>IF(ISNUMBER((NºAsuntos!C31+NºAsuntos!E31)/NºAsuntos!G31),(NºAsuntos!C31+NºAsuntos!E31)/NºAsuntos!G31," - ")</f>
        <v>2.0866519911947168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EC6CpepXPaR8qKCn+/zIq8XBRGxKp+6zgm6D6fNJ3Gf8/d2fQQGaQYUcZF9BWYM3dWxDINZm+aAPLyMKqpluw==" saltValue="dS5b4UWyzBP3Kd2wBEdg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GANDIA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536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417</v>
      </c>
      <c r="Y9" s="374">
        <f>SUM(W9:X9)</f>
        <v>417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7270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473</v>
      </c>
      <c r="AJ9" s="243" t="str">
        <f>IF(ISNUMBER(Datos!BW9),Datos!BW9," - ")</f>
        <v xml:space="preserve"> - </v>
      </c>
      <c r="AK9" s="242" t="str">
        <f>IF(ISNUMBER(Datos!BX9),Datos!BX9," - ")</f>
        <v xml:space="preserve"> - </v>
      </c>
      <c r="AL9" s="266">
        <f>IF(ISNUMBER(NºAsuntos!G9/NºAsuntos!E9),NºAsuntos!G9/NºAsuntos!E9," - ")</f>
        <v>0.99717400080742835</v>
      </c>
      <c r="AM9" s="284">
        <f>IF(ISNUMBER(((NºAsuntos!I9/NºAsuntos!G9)*11)/factor_trimestre),((NºAsuntos!I9/NºAsuntos!G9)*11)/factor_trimestre," - ")</f>
        <v>5.0647773279352224</v>
      </c>
      <c r="AN9" s="267">
        <f>IF(ISNUMBER('Resol  Asuntos'!D9/NºAsuntos!G9),'Resol  Asuntos'!D9/NºAsuntos!G9," - ")</f>
        <v>0.19149797570850202</v>
      </c>
      <c r="AO9" s="268">
        <f>IF(ISNUMBER((NºAsuntos!C9+NºAsuntos!E9)/NºAsuntos!G9),(NºAsuntos!C9+NºAsuntos!E9)/NºAsuntos!G9," - ")</f>
        <v>2.6882591093117409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1</v>
      </c>
      <c r="Y10" s="374">
        <f t="shared" ref="Y10:Y13" si="0">SUM(W10:X10)</f>
        <v>26</v>
      </c>
      <c r="Z10" s="375" t="str">
        <f>IF(ISNUMBER(Datos!CC10),Datos!CC10," - ")</f>
        <v xml:space="preserve"> - </v>
      </c>
      <c r="AA10" s="372">
        <f>IF(ISNUMBER(Datos!L10),Datos!L10,"-")</f>
        <v>46</v>
      </c>
      <c r="AB10" s="374">
        <f>IF(ISNUMBER(Datos!R10),Datos!R10," - ")</f>
        <v>56</v>
      </c>
      <c r="AC10" s="374">
        <f t="shared" ref="AC10:AC13" si="1">IF(ISNUMBER(AA10+AB10),AA10+AB10," - ")</f>
        <v>102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5.5200000000000005</v>
      </c>
      <c r="AN10" s="267">
        <f>IF(ISNUMBER('Resol  Asuntos'!D10/NºAsuntos!G10),'Resol  Asuntos'!D10/NºAsuntos!G10," - ")</f>
        <v>0.36</v>
      </c>
      <c r="AO10" s="268">
        <f>IF(ISNUMBER((NºAsuntos!C10+NºAsuntos!E10)/NºAsuntos!G10),(NºAsuntos!C10+NºAsuntos!E10)/NºAsuntos!G10," - ")</f>
        <v>2.84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0.5</v>
      </c>
      <c r="AM12" s="284">
        <f>IF(ISNUMBER(((NºAsuntos!I12/NºAsuntos!G12)*11)/factor_trimestre),((NºAsuntos!I12/NºAsuntos!G12)*11)/factor_trimestre," - ")</f>
        <v>6</v>
      </c>
      <c r="AN12" s="267">
        <f>IF(ISNUMBER('Resol  Asuntos'!D12/NºAsuntos!G12),'Resol  Asuntos'!D12/NºAsuntos!G12," - ")</f>
        <v>0</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41</v>
      </c>
      <c r="G14" s="1163">
        <f t="shared" si="5"/>
        <v>41</v>
      </c>
      <c r="H14" s="1162">
        <f t="shared" si="5"/>
        <v>0</v>
      </c>
      <c r="I14" s="1164">
        <f t="shared" si="5"/>
        <v>0</v>
      </c>
      <c r="J14" s="1164">
        <f t="shared" si="5"/>
        <v>0</v>
      </c>
      <c r="K14" s="1164">
        <f t="shared" si="5"/>
        <v>0</v>
      </c>
      <c r="L14" s="1164">
        <f t="shared" si="5"/>
        <v>543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420</v>
      </c>
      <c r="Y14" s="1165">
        <f t="shared" si="6"/>
        <v>445</v>
      </c>
      <c r="Z14" s="1165">
        <f t="shared" si="6"/>
        <v>0</v>
      </c>
      <c r="AA14" s="1165">
        <f t="shared" si="6"/>
        <v>46</v>
      </c>
      <c r="AB14" s="1165">
        <f t="shared" si="6"/>
        <v>7421</v>
      </c>
      <c r="AC14" s="1165">
        <f t="shared" si="6"/>
        <v>102</v>
      </c>
      <c r="AD14" s="1165">
        <f t="shared" si="6"/>
        <v>0</v>
      </c>
      <c r="AE14" s="1169">
        <f t="shared" si="6"/>
        <v>0</v>
      </c>
      <c r="AF14" s="1162">
        <f t="shared" si="6"/>
        <v>0</v>
      </c>
      <c r="AG14" s="1170">
        <f t="shared" si="6"/>
        <v>0</v>
      </c>
      <c r="AH14" s="1167">
        <f t="shared" si="6"/>
        <v>0</v>
      </c>
      <c r="AI14" s="1162">
        <f t="shared" si="6"/>
        <v>482</v>
      </c>
      <c r="AJ14" s="1164">
        <f t="shared" si="6"/>
        <v>0</v>
      </c>
      <c r="AK14" s="1167">
        <f>SUBTOTAL(9,AK9:AK13)</f>
        <v>0</v>
      </c>
      <c r="AL14" s="1171">
        <f>IF(ISNUMBER(NºAsuntos!G14/NºAsuntos!E14),NºAsuntos!G14/NºAsuntos!E14," - ")</f>
        <v>0.99481865284974091</v>
      </c>
      <c r="AM14" s="1171">
        <f>IF(ISNUMBER(((NºAsuntos!I14/NºAsuntos!G14)*11)/factor_trimestre),((NºAsuntos!I14/NºAsuntos!G14)*11)/factor_trimestre," - ")</f>
        <v>5.0697115384615392</v>
      </c>
      <c r="AN14" s="1172">
        <f>IF(ISNUMBER('Resol  Asuntos'!D14/NºAsuntos!G14),'Resol  Asuntos'!D14/NºAsuntos!G14," - ")</f>
        <v>0.19310897435897437</v>
      </c>
      <c r="AO14" s="1173">
        <f>IF(ISNUMBER((NºAsuntos!C14+NºAsuntos!E14)/NºAsuntos!G14),(NºAsuntos!C14+NºAsuntos!E14)/NºAsuntos!G14," - ")</f>
        <v>2.6899038461538463</v>
      </c>
      <c r="AP14" s="1174" t="str">
        <f t="shared" si="2"/>
        <v xml:space="preserve"> - </v>
      </c>
      <c r="AQ14" s="1174">
        <f>IF(ISNUMBER((H14-W14+K14)/(F14)),(H14-W14+K14)/(F14)," - ")</f>
        <v>-0.6097560975609756</v>
      </c>
      <c r="AR14" s="1175">
        <f>IF(ISNUMBER((Datos!P14-Datos!Q14)/(Datos!R14-Datos!P14+Datos!Q14)),(Datos!P14-Datos!Q14)/(Datos!R14-Datos!P14+Datos!Q14)," - ")</f>
        <v>1.6853932584269662E-2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1247</v>
      </c>
      <c r="G16" s="373">
        <f>IF(ISNUMBER(IF(D_I="SI",Datos!I16,Datos!I16+Datos!AC16)),IF(D_I="SI",Datos!I16,Datos!I16+Datos!AC16)," - ")</f>
        <v>1213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2264</v>
      </c>
      <c r="X16" s="240">
        <f>IF(ISNUMBER(Datos!Q16),Datos!Q16," - ")</f>
        <v>110</v>
      </c>
      <c r="Y16" s="374">
        <f>SUM(W16)</f>
        <v>2264</v>
      </c>
      <c r="Z16" s="375" t="str">
        <f>IF(ISNUMBER(Datos!CC16),Datos!CC16," - ")</f>
        <v xml:space="preserve"> - </v>
      </c>
      <c r="AA16" s="372">
        <f>IF(ISNUMBER(IF(D_I="SI",Datos!L16,Datos!L16+Datos!AF16)),IF(D_I="SI",Datos!L16,Datos!L16+Datos!AF16)," - ")</f>
        <v>1148</v>
      </c>
      <c r="AB16" s="374">
        <f>IF(ISNUMBER(Datos!R16),Datos!R16," - ")</f>
        <v>290</v>
      </c>
      <c r="AC16" s="374">
        <f t="shared" ref="AC16:AC22" si="8">IF(ISNUMBER(AA16+AB16),AA16+AB16," - ")</f>
        <v>1438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441</v>
      </c>
      <c r="AJ16" s="245" t="str">
        <f>IF(ISNUMBER(Datos!BW16),Datos!BW16," - ")</f>
        <v xml:space="preserve"> - </v>
      </c>
      <c r="AK16" s="246" t="str">
        <f>IF(ISNUMBER(Datos!BX16),Datos!BX16," - ")</f>
        <v xml:space="preserve"> - </v>
      </c>
      <c r="AL16" s="266">
        <f>IF(ISNUMBER(NºAsuntos!G16/NºAsuntos!E16),NºAsuntos!G16/NºAsuntos!E16," - ")</f>
        <v>1.0457274826789837</v>
      </c>
      <c r="AM16" s="284">
        <f>IF(ISNUMBER(((NºAsuntos!I16/NºAsuntos!G16)*11)/factor_trimestre),((NºAsuntos!I16/NºAsuntos!G16)*11)/factor_trimestre," - ")</f>
        <v>1.521201413427562</v>
      </c>
      <c r="AN16" s="267">
        <f>IF(ISNUMBER('Resol  Asuntos'!D16/NºAsuntos!G16),'Resol  Asuntos'!D16/NºAsuntos!G16," - ")</f>
        <v>0.19478798586572438</v>
      </c>
      <c r="AO16" s="268">
        <f>IF(ISNUMBER((NºAsuntos!C16+NºAsuntos!E16)/NºAsuntos!G16),(NºAsuntos!C16+NºAsuntos!E16)/NºAsuntos!G16," - ")</f>
        <v>1.4920494699646643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237</v>
      </c>
      <c r="X18" s="240">
        <f>IF(ISNUMBER(Datos!Q18),Datos!Q18," - ")</f>
        <v>13</v>
      </c>
      <c r="Y18" s="374">
        <f t="shared" si="9"/>
        <v>250</v>
      </c>
      <c r="Z18" s="375" t="str">
        <f>IF(ISNUMBER(Datos!CC18),Datos!CC18," - ")</f>
        <v xml:space="preserve"> - </v>
      </c>
      <c r="AA18" s="372">
        <f>IF(ISNUMBER(Datos!L18),Datos!L18,"-")</f>
        <v>98</v>
      </c>
      <c r="AB18" s="374">
        <f>IF(ISNUMBER(Datos!R18),Datos!R18," - ")</f>
        <v>1</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68</v>
      </c>
      <c r="AJ18" s="245" t="str">
        <f>IF(ISNUMBER(Datos!BW18),Datos!BW18," - ")</f>
        <v xml:space="preserve"> - </v>
      </c>
      <c r="AK18" s="246" t="str">
        <f>IF(ISNUMBER(Datos!BX18),Datos!BX18," - ")</f>
        <v xml:space="preserve"> - </v>
      </c>
      <c r="AL18" s="266">
        <f>IF(ISNUMBER(NºAsuntos!G18/NºAsuntos!E18),NºAsuntos!G18/NºAsuntos!E18," - ")</f>
        <v>0.99163179916317989</v>
      </c>
      <c r="AM18" s="284">
        <f>IF(ISNUMBER(((NºAsuntos!I18/NºAsuntos!G18)*11)/factor_trimestre),((NºAsuntos!I18/NºAsuntos!G18)*11)/factor_trimestre," - ")</f>
        <v>1.240506329113924</v>
      </c>
      <c r="AN18" s="267">
        <f>IF(ISNUMBER('Resol  Asuntos'!D18/NºAsuntos!G18),'Resol  Asuntos'!D18/NºAsuntos!G18," - ")</f>
        <v>0.28691983122362869</v>
      </c>
      <c r="AO18" s="268">
        <f>IF(ISNUMBER((NºAsuntos!C18+NºAsuntos!E18)/NºAsuntos!G18),(NºAsuntos!C18+NºAsuntos!E18)/NºAsuntos!G18," - ")</f>
        <v>1.4135021097046414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1247</v>
      </c>
      <c r="G23" s="1163">
        <f>SUBTOTAL(9,G16:G22)</f>
        <v>1309</v>
      </c>
      <c r="H23" s="1162">
        <f t="shared" ref="H23:O23" si="13">SUBTOTAL(9,H15:H22)</f>
        <v>0</v>
      </c>
      <c r="I23" s="1164">
        <f t="shared" si="13"/>
        <v>0</v>
      </c>
      <c r="J23" s="1164">
        <f t="shared" si="13"/>
        <v>0</v>
      </c>
      <c r="K23" s="1164">
        <f t="shared" si="13"/>
        <v>0</v>
      </c>
      <c r="L23" s="1164">
        <f t="shared" si="13"/>
        <v>141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2501</v>
      </c>
      <c r="X23" s="1164">
        <f t="shared" si="14"/>
        <v>123</v>
      </c>
      <c r="Y23" s="1165">
        <f t="shared" si="14"/>
        <v>2514</v>
      </c>
      <c r="Z23" s="1165">
        <f t="shared" si="14"/>
        <v>0</v>
      </c>
      <c r="AA23" s="1165">
        <f t="shared" si="14"/>
        <v>1246</v>
      </c>
      <c r="AB23" s="1165">
        <f t="shared" si="14"/>
        <v>291</v>
      </c>
      <c r="AC23" s="1165">
        <f t="shared" si="14"/>
        <v>1537</v>
      </c>
      <c r="AD23" s="1165">
        <f t="shared" si="14"/>
        <v>0</v>
      </c>
      <c r="AE23" s="1169">
        <f t="shared" si="14"/>
        <v>0</v>
      </c>
      <c r="AF23" s="1162">
        <f t="shared" si="14"/>
        <v>0</v>
      </c>
      <c r="AG23" s="1170">
        <f t="shared" si="14"/>
        <v>0</v>
      </c>
      <c r="AH23" s="1167">
        <f t="shared" si="14"/>
        <v>0</v>
      </c>
      <c r="AI23" s="1162">
        <f t="shared" si="14"/>
        <v>509</v>
      </c>
      <c r="AJ23" s="1164">
        <f t="shared" si="14"/>
        <v>0</v>
      </c>
      <c r="AK23" s="1167">
        <f t="shared" si="14"/>
        <v>0</v>
      </c>
      <c r="AL23" s="1171">
        <f>IF(ISNUMBER(NºAsuntos!G23/NºAsuntos!E23),NºAsuntos!G23/NºAsuntos!E23," - ")</f>
        <v>1.0403494176372712</v>
      </c>
      <c r="AM23" s="1171">
        <f>IF(ISNUMBER(((NºAsuntos!I23/NºAsuntos!G23)*11)/factor_trimestre),((NºAsuntos!I23/NºAsuntos!G23)*11)/factor_trimestre," - ")</f>
        <v>1.4946021591363456</v>
      </c>
      <c r="AN23" s="1172">
        <f>IF(ISNUMBER('Resol  Asuntos'!D23/NºAsuntos!G23),'Resol  Asuntos'!D23/NºAsuntos!G23," - ")</f>
        <v>0.2035185925629748</v>
      </c>
      <c r="AO23" s="1173">
        <f>IF(ISNUMBER((NºAsuntos!C23+NºAsuntos!E23)/NºAsuntos!G23),(NºAsuntos!C23+NºAsuntos!E23)/NºAsuntos!G23," - ")</f>
        <v>1.4846061575369851</v>
      </c>
      <c r="AP23" s="1174" t="str">
        <f t="shared" si="2"/>
        <v xml:space="preserve"> - </v>
      </c>
      <c r="AQ23" s="1174">
        <f>IF(ISNUMBER((H23-W23+K23)/(F23)),(H23-W23+K23)/(F23)," - ")</f>
        <v>-2.0056134723336005</v>
      </c>
      <c r="AR23" s="1175">
        <f>IF(ISNUMBER((Datos!P23-Datos!Q23)/(Datos!R23-Datos!P23+Datos!Q23)),(Datos!P23-Datos!Q23)/(Datos!R23-Datos!P23+Datos!Q23)," - ")</f>
        <v>6.5934065934065936E-2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1288</v>
      </c>
      <c r="G31" s="1118">
        <f t="shared" si="20"/>
        <v>1350</v>
      </c>
      <c r="H31" s="1117">
        <f t="shared" si="20"/>
        <v>0</v>
      </c>
      <c r="I31" s="1119">
        <f t="shared" si="20"/>
        <v>0</v>
      </c>
      <c r="J31" s="1119">
        <f t="shared" si="20"/>
        <v>0</v>
      </c>
      <c r="K31" s="1180">
        <f t="shared" si="20"/>
        <v>0</v>
      </c>
      <c r="L31" s="1119">
        <f t="shared" si="20"/>
        <v>684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2526</v>
      </c>
      <c r="X31" s="1118">
        <f t="shared" si="21"/>
        <v>543</v>
      </c>
      <c r="Y31" s="1125">
        <f t="shared" si="21"/>
        <v>2959</v>
      </c>
      <c r="Z31" s="1125">
        <f t="shared" si="21"/>
        <v>0</v>
      </c>
      <c r="AA31" s="1125">
        <f t="shared" si="21"/>
        <v>1292</v>
      </c>
      <c r="AB31" s="1125">
        <f t="shared" si="21"/>
        <v>7712</v>
      </c>
      <c r="AC31" s="1125">
        <f t="shared" si="21"/>
        <v>1639</v>
      </c>
      <c r="AD31" s="1125">
        <f t="shared" si="21"/>
        <v>0</v>
      </c>
      <c r="AE31" s="1127">
        <f t="shared" si="21"/>
        <v>0</v>
      </c>
      <c r="AF31" s="1128">
        <f t="shared" si="21"/>
        <v>0</v>
      </c>
      <c r="AG31" s="1129">
        <f t="shared" si="21"/>
        <v>0</v>
      </c>
      <c r="AH31" s="1127">
        <f t="shared" si="21"/>
        <v>0</v>
      </c>
      <c r="AI31" s="1117">
        <f t="shared" si="21"/>
        <v>991</v>
      </c>
      <c r="AJ31" s="1117">
        <f t="shared" si="21"/>
        <v>0</v>
      </c>
      <c r="AK31" s="1127">
        <f t="shared" si="21"/>
        <v>0</v>
      </c>
      <c r="AL31" s="1183">
        <f>IF(ISNUMBER(NºAsuntos!G31/NºAsuntos!E31),NºAsuntos!G31/NºAsuntos!E31," - ")</f>
        <v>1.0170974964380215</v>
      </c>
      <c r="AM31" s="1184">
        <f>IF(ISNUMBER(((NºAsuntos!I31/NºAsuntos!G31)*11)/factor_trimestre),((NºAsuntos!I31/NºAsuntos!G31)*11)/factor_trimestre," - ")</f>
        <v>3.2803682209325595</v>
      </c>
      <c r="AN31" s="1184">
        <f>IF(ISNUMBER('Resol  Asuntos'!D31/NºAsuntos!G31),'Resol  Asuntos'!D31/NºAsuntos!G31," - ")</f>
        <v>0.19831899139483691</v>
      </c>
      <c r="AO31" s="1185">
        <f>IF(ISNUMBER((NºAsuntos!C31+NºAsuntos!E31)/NºAsuntos!G31),(NºAsuntos!C31+NºAsuntos!E31)/NºAsuntos!G31," - ")</f>
        <v>2.0866519911947168</v>
      </c>
      <c r="AP31" s="1186" t="str">
        <f t="shared" si="2"/>
        <v xml:space="preserve"> - </v>
      </c>
      <c r="AQ31" s="1187">
        <f>IF(OR(ISNUMBER(FIND("01",Criterios!A8,1)),ISNUMBER(FIND("02",Criterios!A8,1)),ISNUMBER(FIND("03",Criterios!A8,1)),ISNUMBER(FIND("04",Criterios!A8,1))),(I31-W31+K31)/(F31-K31),(H31-W31+K31)/(F31-K31))</f>
        <v>-1.9611801242236024</v>
      </c>
      <c r="AR31" s="1188">
        <f>IF(ISNUMBER((Datos!P31-Datos!Q31)/(Datos!R31-Datos!P31+Datos!Q31)),(Datos!P31-Datos!Q31)/(Datos!R31-Datos!P31+Datos!Q31)," - ")</f>
        <v>1.8623695680887599E-2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600.75119641994888</v>
      </c>
      <c r="G33" s="277">
        <f>IF(ISNUMBER(STDEV(G8:G30)),STDEV(G8:G30),"-")</f>
        <v>571.48653277470783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1085.4740899717506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240.71366115504676</v>
      </c>
      <c r="AJ33" s="276">
        <f t="shared" si="25"/>
        <v>0</v>
      </c>
      <c r="AK33" s="278">
        <f t="shared" si="25"/>
        <v>0</v>
      </c>
      <c r="AL33" s="273">
        <f t="shared" si="25"/>
        <v>0.19608334124756466</v>
      </c>
      <c r="AM33" s="274">
        <f t="shared" si="25"/>
        <v>2.1602917329552773</v>
      </c>
      <c r="AN33" s="274">
        <f t="shared" si="25"/>
        <v>0.11044397240685162</v>
      </c>
      <c r="AO33" s="275">
        <f t="shared" si="25"/>
        <v>0.72495566831412706</v>
      </c>
      <c r="AP33" s="317" t="str">
        <f t="shared" si="25"/>
        <v>-</v>
      </c>
      <c r="AQ33" s="318">
        <f t="shared" si="25"/>
        <v>0.98702021527097505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s2DCLlbbBlgPQ84pvmDIe+HRg6A2l99sTj4tbcp1YX7LDr2YXkB1jbdAkzfyy0hVm55ylaGM56lPXbHGagbYg==" saltValue="hxAq+QIW949+lVh1p4OT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GANDIA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-5.588822355289421E-2</v>
      </c>
      <c r="I9" s="395">
        <f>IF(ISNUMBER((Tasas!C9-Datos!BE9)/Datos!BE9),(Tasas!C9-Datos!BE9)/Datos!BE9," - ")</f>
        <v>7.3077366244606909E-2</v>
      </c>
      <c r="J9" s="394">
        <f>IF(ISNUMBER((Tasas!D9-Datos!BF9)/Datos!BF9),(Tasas!D9-Datos!BF9)/Datos!BF9," - ")</f>
        <v>-0.53235120511559275</v>
      </c>
      <c r="K9" s="396">
        <f>IF(ISNUMBER((Tasas!E9-Datos!BG9)/Datos!BG9),(Tasas!E9-Datos!BG9)/Datos!BG9," - ")</f>
        <v>4.7951820473158206E-2</v>
      </c>
      <c r="M9" t="e">
        <f>IF(Monitorios="SI",Datos!CE9,0)</f>
        <v>#REF!</v>
      </c>
      <c r="N9" t="e">
        <f>IF(Monitorios="SI",Datos!CF9,0)</f>
        <v>#REF!</v>
      </c>
      <c r="O9" t="e">
        <f>IF(Monitorios="SI",Datos!CG9,0)</f>
        <v>#REF!</v>
      </c>
      <c r="P9" t="e">
        <f>IF(Monitorios="SI",Datos!CH9,0)</f>
        <v>#REF!</v>
      </c>
      <c r="Q9">
        <f>IF(J_V="SI",0,Datos!AG9)</f>
        <v>217</v>
      </c>
      <c r="R9">
        <f>IF(J_V="SI",0,Datos!AH9)</f>
        <v>269</v>
      </c>
      <c r="S9">
        <f>IF(J_V="SI",0,Datos!AI9)</f>
        <v>254</v>
      </c>
      <c r="T9">
        <f>IF(J_V="SI",0,Datos!AJ9)</f>
        <v>240</v>
      </c>
    </row>
    <row r="10" spans="2:20" ht="14.25">
      <c r="B10" s="300" t="s">
        <v>321</v>
      </c>
      <c r="C10" s="7" t="str">
        <f>Datos!A10</f>
        <v>Jdos. Violencia contra la mujer</v>
      </c>
      <c r="D10" s="397">
        <f>IF(ISNUMBER((Datos!I10-Datos!S10)/Datos!S10),(Datos!I10-Datos!S10)/Datos!S10," - ")</f>
        <v>-0.10869565217391304</v>
      </c>
      <c r="E10" s="393">
        <f>IF(ISNUMBER((Datos!J10-Datos!T10)/Datos!T10),(Datos!J10-Datos!T10)/Datos!T10," - ")</f>
        <v>0.5</v>
      </c>
      <c r="F10" s="393">
        <f>IF(ISNUMBER((Datos!K10-Datos!U10)/Datos!U10),(Datos!K10-Datos!U10)/Datos!U10," - ")</f>
        <v>0.31578947368421051</v>
      </c>
      <c r="G10" s="394">
        <f>IF(ISNUMBER((Datos!L10-Datos!V10)/Datos!V10),(Datos!L10-Datos!V10)/Datos!V10," - ")</f>
        <v>-2.1276595744680851E-2</v>
      </c>
      <c r="H10" s="244">
        <f>IF(ISNUMBER((Datos!M10-Datos!W10)/Datos!W10),(Datos!M10-Datos!W10)/Datos!W10," - ")</f>
        <v>-0.18181818181818182</v>
      </c>
      <c r="I10" s="395">
        <f>IF(ISNUMBER((Tasas!C10-Datos!BE10)/Datos!BE10),(Tasas!C10-Datos!BE10)/Datos!BE10," - ")</f>
        <v>-0.25617021276595747</v>
      </c>
      <c r="J10" s="394">
        <f>IF(ISNUMBER((Tasas!D10-Datos!BF10)/Datos!BF10),(Tasas!D10-Datos!BF10)/Datos!BF10," - ")</f>
        <v>-0.37818181818181823</v>
      </c>
      <c r="K10" s="396">
        <f>IF(ISNUMBER((Tasas!E10-Datos!BG10)/Datos!BG10),(Tasas!E10-Datos!BG10)/Datos!BG10," - ")</f>
        <v>-0.18242424242424249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-5.859375E-2</v>
      </c>
      <c r="I14" s="402">
        <f>IF(ISNUMBER((Tasas!C14-Datos!BE14)/Datos!BE14),(Tasas!C14-Datos!BE14)/Datos!BE14," - ")</f>
        <v>6.9446242624891338E-2</v>
      </c>
      <c r="J14" s="400">
        <f>IF(ISNUMBER((Tasas!D14-Datos!BF14)/Datos!BF14),(Tasas!D14-Datos!BF14)/Datos!BF14," - ")</f>
        <v>-0.52982162764771457</v>
      </c>
      <c r="K14" s="403">
        <f>IF(ISNUMBER((Tasas!E14-Datos!BG14)/Datos!BG14),(Tasas!E14-Datos!BG14)/Datos!BG14," - ")</f>
        <v>4.5764685831155595E-2</v>
      </c>
      <c r="M14" t="e">
        <f>IF(Monitorios="SI",Datos!CE14,0)</f>
        <v>#REF!</v>
      </c>
      <c r="N14" t="e">
        <f>IF(Monitorios="SI",Datos!CF14,0)</f>
        <v>#REF!</v>
      </c>
      <c r="O14" t="e">
        <f>IF(Monitorios="SI",Datos!CG14,0)</f>
        <v>#REF!</v>
      </c>
      <c r="P14" t="e">
        <f>IF(Monitorios="SI",Datos!CH14,0)</f>
        <v>#REF!</v>
      </c>
      <c r="Q14">
        <f>IF(J_V="SI",0,Datos!AG14)</f>
        <v>217</v>
      </c>
      <c r="R14">
        <f>IF(J_V="SI",0,Datos!AH14)</f>
        <v>269</v>
      </c>
      <c r="S14">
        <f>IF(J_V="SI",0,Datos!AI14)</f>
        <v>254</v>
      </c>
      <c r="T14">
        <f>IF(J_V="SI",0,Datos!AJ14)</f>
        <v>240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-0.15822345593337961</v>
      </c>
      <c r="E16" s="393">
        <f>IF(ISNUMBER(
   IF(D_I="SI",(Datos!J16-Datos!T16)/Datos!T16,(Datos!J16+Datos!AD16-(Datos!T16+Datos!AL16))/(Datos!T16+Datos!AL16))
     ),IF(D_I="SI",(Datos!J16-Datos!T16)/Datos!T16,(Datos!J16+Datos!AD16-(Datos!T16+Datos!AL16))/(Datos!T16+Datos!AL16))," - ")</f>
        <v>0.10459183673469388</v>
      </c>
      <c r="F16" s="393">
        <f>IF(ISNUMBER(
   IF(D_I="SI",(Datos!K16-Datos!U16)/Datos!U16,(Datos!K16+Datos!AE16-(Datos!U16+Datos!AM16))/(Datos!U16+Datos!AM16))
     ),IF(D_I="SI",(Datos!K16-Datos!U16)/Datos!U16,(Datos!K16+Datos!AE16-(Datos!U16+Datos!AM16))/(Datos!U16+Datos!AM16))," - ")</f>
        <v>7.7582103760114235E-2</v>
      </c>
      <c r="G16" s="394">
        <f>IF(ISNUMBER(
   IF(D_I="SI",(Datos!L16-Datos!V16)/Datos!V16,(Datos!L16+Datos!AF16-(Datos!V16+Datos!AN16))/(Datos!V16+Datos!AN16))
     ),IF(D_I="SI",(Datos!L16-Datos!V16)/Datos!V16,(Datos!L16+Datos!AF16-(Datos!V16+Datos!AN16))/(Datos!V16+Datos!AN16))," - ")</f>
        <v>-0.16143170197224252</v>
      </c>
      <c r="H16" s="244">
        <f>IF(ISNUMBER((Datos!M16-Datos!W16)/Datos!W16),(Datos!M16-Datos!W16)/Datos!W16," - ")</f>
        <v>8.8888888888888892E-2</v>
      </c>
      <c r="I16" s="395">
        <f>IF(ISNUMBER((Tasas!C16-Datos!BE16)/Datos!BE16),(Tasas!C16-Datos!BE16)/Datos!BE16," - ")</f>
        <v>-0.22180565629137872</v>
      </c>
      <c r="J16" s="394">
        <f>IF(ISNUMBER((Tasas!D16-Datos!BF16)/Datos!BF16),(Tasas!D16-Datos!BF16)/Datos!BF16," - ")</f>
        <v>1.0492736552807276E-2</v>
      </c>
      <c r="K16" s="396">
        <f>IF(ISNUMBER((Tasas!E16-Datos!BG16)/Datos!BG16),(Tasas!E16-Datos!BG16)/Datos!BG16," - ")</f>
        <v>-7.8272291562552263E-2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4.3668122270742356E-2</v>
      </c>
      <c r="F18" s="393">
        <f>IF(ISNUMBER(
   IF(D_I="SI",(Datos!K18-Datos!U18)/Datos!U18,(Datos!K18+Datos!AE18-(Datos!U18+Datos!AM18))/(Datos!U18+Datos!AM18))
     ),IF(D_I="SI",(Datos!K18-Datos!U18)/Datos!U18,(Datos!K18+Datos!AE18-(Datos!U18+Datos!AM18))/(Datos!U18+Datos!AM18))," - ")</f>
        <v>-4.2016806722689074E-3</v>
      </c>
      <c r="G18" s="394">
        <f>IF(ISNUMBER(
   IF(D_I="SI",(Datos!L18-Datos!V18)/Datos!V18,(Datos!L18+Datos!AF18-(Datos!V18+Datos!AN18))/(Datos!V18+Datos!AN18))
     ),IF(D_I="SI",(Datos!L18-Datos!V18)/Datos!V18,(Datos!L18+Datos!AF18-(Datos!V18+Datos!AN18))/(Datos!V18+Datos!AN18))," - ")</f>
        <v>0.42028985507246375</v>
      </c>
      <c r="H18" s="244">
        <f>IF(ISNUMBER((Datos!M18-Datos!W18)/Datos!W18),(Datos!M18-Datos!W18)/Datos!W18," - ")</f>
        <v>-8.1081081081081086E-2</v>
      </c>
      <c r="I18" s="395">
        <f>IF(ISNUMBER((Tasas!C18-Datos!BE18)/Datos!BE18),(Tasas!C18-Datos!BE18)/Datos!BE18," - ")</f>
        <v>0.42628263927108162</v>
      </c>
      <c r="J18" s="394">
        <f>IF(ISNUMBER((Tasas!D18-Datos!BF18)/Datos!BF18),(Tasas!D18-Datos!BF18)/Datos!BF18," - ")</f>
        <v>-7.7203786064545601E-2</v>
      </c>
      <c r="K18" s="396">
        <f>IF(ISNUMBER((Tasas!E18-Datos!BG18)/Datos!BG18),(Tasas!E18-Datos!BG18)/Datos!BG18," - ")</f>
        <v>9.5809453126073724E-2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-0.1393819855358317</v>
      </c>
      <c r="E23" s="399">
        <f>IF(ISNUMBER(
   IF(D_I="SI",(Datos!J23-Datos!T23)/Datos!T23,(Datos!J23+Datos!AD23-(Datos!T23+Datos!AL23))/(Datos!T23+Datos!AL23))
     ),IF(D_I="SI",(Datos!J23-Datos!T23)/Datos!T23,(Datos!J23+Datos!AD23-(Datos!T23+Datos!AL23))/(Datos!T23+Datos!AL23))," - ")</f>
        <v>9.8218364550022835E-2</v>
      </c>
      <c r="F23" s="399">
        <f>IF(ISNUMBER(
   IF(D_I="SI",(Datos!K23-Datos!U23)/Datos!U23,(Datos!K23+Datos!AE23-(Datos!U23+Datos!AM23))/(Datos!U23+Datos!AM23))
     ),IF(D_I="SI",(Datos!K23-Datos!U23)/Datos!U23,(Datos!K23+Datos!AE23-(Datos!U23+Datos!AM23))/(Datos!U23+Datos!AM23))," - ")</f>
        <v>6.9260367678495083E-2</v>
      </c>
      <c r="G23" s="400">
        <f>IF(ISNUMBER(
   IF(D_I="SI",(Datos!L23-Datos!V23)/Datos!V23,(Datos!L23+Datos!AF23-(Datos!V23+Datos!AN23))/(Datos!V23+Datos!AN23))
     ),IF(D_I="SI",(Datos!L23-Datos!V23)/Datos!V23,(Datos!L23+Datos!AF23-(Datos!V23+Datos!AN23))/(Datos!V23+Datos!AN23))," - ")</f>
        <v>-0.13472222222222222</v>
      </c>
      <c r="H23" s="401">
        <f>IF(ISNUMBER((Datos!M23-Datos!W23)/Datos!W23),(Datos!M23-Datos!W23)/Datos!W23," - ")</f>
        <v>6.2630480167014613E-2</v>
      </c>
      <c r="I23" s="402">
        <f>IF(ISNUMBER((Tasas!C23-Datos!BE23)/Datos!BE23),(Tasas!C23-Datos!BE23)/Datos!BE23," - ")</f>
        <v>-0.19076980318983522</v>
      </c>
      <c r="J23" s="400">
        <f>IF(ISNUMBER((Tasas!D23-Datos!BF23)/Datos!BF23),(Tasas!D23-Datos!BF23)/Datos!BF23," - ")</f>
        <v>-6.2004425787097204E-3</v>
      </c>
      <c r="K23" s="403">
        <f>IF(ISNUMBER((Tasas!E23-Datos!BG23)/Datos!BG23),(Tasas!E23-Datos!BG23)/Datos!BG23," - ")</f>
        <v>-6.4017842997571947E-2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-7.6072386058981228E-2</v>
      </c>
      <c r="E31" s="409">
        <f>IF(ISNUMBER(
   IF(J_V="SI",(Datos!J31-Datos!T31)/Datos!T31,(Datos!J31+Datos!Z31-(Datos!T31+Datos!AH31))/(Datos!T31+Datos!AH31))
     ),IF(J_V="SI",(Datos!J31-Datos!T31)/Datos!T31,(Datos!J31+Datos!Z31-(Datos!T31+Datos!AH31))/(Datos!T31+Datos!AH31))," - ")</f>
        <v>8.8874113475177305E-2</v>
      </c>
      <c r="F31" s="409">
        <f>IF(ISNUMBER(
   IF(J_V="SI",(Datos!K31-Datos!U31)/Datos!U31,(Datos!K31+Datos!AA31-(Datos!U31+Datos!AI31))/(Datos!U31+Datos!AI31))
     ),IF(J_V="SI",(Datos!K31-Datos!U31)/Datos!U31,(Datos!K31+Datos!AA31-(Datos!U31+Datos!AI31))/(Datos!U31+Datos!AI31))," - ")</f>
        <v>5.2303359485013079E-3</v>
      </c>
      <c r="G31" s="410">
        <f>IF(ISNUMBER(
   IF(J_V="SI",(Datos!L31-Datos!V31)/Datos!V31,(Datos!L31+Datos!AB31-(Datos!V31+Datos!AJ31))/(Datos!V31+Datos!AJ31))
     ),IF(J_V="SI",(Datos!L31-Datos!V31)/Datos!V31,(Datos!L31+Datos!AB31-(Datos!V31+Datos!AJ31))/(Datos!V31+Datos!AJ31))," - ")</f>
        <v>-2.4111448472941596E-2</v>
      </c>
      <c r="H31" s="411">
        <f>IF(ISNUMBER((Datos!M31-Datos!W31)/Datos!W31),(Datos!M31-Datos!W31)/Datos!W31," - ")</f>
        <v>0</v>
      </c>
      <c r="I31" s="408">
        <f>IF(ISNUMBER((Tasas!C31-Datos!BE31)/Datos!BE31),(Tasas!C31-Datos!BE31)/Datos!BE31," - ")</f>
        <v>-2.918911554112329E-2</v>
      </c>
      <c r="J31" s="409">
        <f>IF(ISNUMBER((Tasas!D31-Datos!BF31)/Datos!BF31),(Tasas!D31-Datos!BF31)/Datos!BF31," - ")</f>
        <v>-0.36804890626683701</v>
      </c>
      <c r="K31" s="410">
        <f>IF(ISNUMBER((Tasas!E31-Datos!BG31)/Datos!BG31),(Tasas!E31-Datos!BG31)/Datos!BG31," - ")</f>
        <v>-1.0234060283498393E-2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0.45638693847556439</v>
      </c>
      <c r="E33" s="303">
        <f t="shared" si="1"/>
        <v>0.21070178963369723</v>
      </c>
      <c r="F33" s="303">
        <f t="shared" si="1"/>
        <v>0.13906479344053663</v>
      </c>
      <c r="G33" s="304">
        <f t="shared" si="1"/>
        <v>0.51486266441983775</v>
      </c>
      <c r="H33" s="310">
        <f t="shared" si="1"/>
        <v>9.9509056649605465E-2</v>
      </c>
      <c r="I33" s="302">
        <f t="shared" si="1"/>
        <v>0.26131565870210827</v>
      </c>
      <c r="J33" s="303">
        <f t="shared" si="1"/>
        <v>0.25751769439382161</v>
      </c>
      <c r="K33" s="304">
        <f t="shared" si="1"/>
        <v>0.10395257594693259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H6wyfJ+8aDmr7EkrLyN0FmvSaSf/+iM3HUEgpXPYE0CFiTBfL+/5Ob2ZOHhNBoC90ECEeS/3yUcrMhVzxABQ==" saltValue="YQyhHHB7+PTLR7dYFhq1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